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drawings/drawing3.xml" ContentType="application/vnd.openxmlformats-officedocument.drawing+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Q0IWRSMM\Desktop\New IRT Resources\Session 9b\"/>
    </mc:Choice>
  </mc:AlternateContent>
  <bookViews>
    <workbookView xWindow="0" yWindow="0" windowWidth="17130" windowHeight="5850" tabRatio="814"/>
  </bookViews>
  <sheets>
    <sheet name="Project Assessment" sheetId="10" r:id="rId1"/>
    <sheet name="Watershed Assessment" sheetId="11" r:id="rId2"/>
    <sheet name="Parameter Selection Guide" sheetId="15" r:id="rId3"/>
    <sheet name="Quantification Tool" sheetId="2" r:id="rId4"/>
    <sheet name="Reference Standards" sheetId="1" r:id="rId5"/>
    <sheet name="Monitoring Data" sheetId="13" r:id="rId6"/>
    <sheet name="Data Summary" sheetId="14" r:id="rId7"/>
    <sheet name="Pull Down Notes" sheetId="3" state="hidden" r:id="rId8"/>
  </sheets>
  <definedNames>
    <definedName name="BedMaterial">'Pull Down Notes'!$B$12:$B$18</definedName>
    <definedName name="BedType">'Pull Down Notes'!#REF!</definedName>
    <definedName name="BEHI.NBS">'Pull Down Notes'!$B$25:$B$54</definedName>
    <definedName name="CatchmentAssessment">'Pull Down Notes'!$B$98:$B$100</definedName>
    <definedName name="CatchmentAssessmentQuat">'Pull Down Notes'!#REF!</definedName>
    <definedName name="DrainageArea">'Pull Down Notes'!#REF!</definedName>
    <definedName name="Flow.Type">'Pull Down Notes'!$B$20:$B$22</definedName>
    <definedName name="Level">'Pull Down Notes'!$B$56:$B$59</definedName>
    <definedName name="_xlnm.Print_Area" localSheetId="5">'Monitoring Data'!$A$1:$K$434</definedName>
    <definedName name="_xlnm.Print_Area" localSheetId="2">'Parameter Selection Guide'!$A$6:$E$38</definedName>
    <definedName name="_xlnm.Print_Area" localSheetId="3">'Quantification Tool'!$A$1:$K$118</definedName>
    <definedName name="ProgramGoals">'Pull Down Notes'!$B$92:$B$95</definedName>
    <definedName name="Region">'Pull Down Notes'!$B$61:$B$85</definedName>
    <definedName name="RiverBasins">'Pull Down Notes'!#REF!</definedName>
    <definedName name="StreamType">'Pull Down Notes'!$B$1:$B$9</definedName>
    <definedName name="WaterTypes">'Pull Down Notes'!#REF!</definedName>
    <definedName name="Yes.No">'Pull Down Notes'!$B$88:$B$89</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04" i="13" l="1"/>
  <c r="F364" i="13"/>
  <c r="F324" i="13"/>
  <c r="F284" i="13"/>
  <c r="F244" i="13"/>
  <c r="F204" i="13"/>
  <c r="F165" i="13"/>
  <c r="F126" i="13"/>
  <c r="F87" i="13"/>
  <c r="F48" i="13"/>
  <c r="F9" i="13"/>
  <c r="F88" i="2"/>
  <c r="F48" i="2"/>
  <c r="F57" i="2" l="1"/>
  <c r="F56" i="2"/>
  <c r="F433" i="13" l="1"/>
  <c r="F432" i="13"/>
  <c r="F431" i="13"/>
  <c r="F430" i="13"/>
  <c r="F429" i="13"/>
  <c r="F428" i="13"/>
  <c r="F427" i="13"/>
  <c r="G427" i="13" s="1"/>
  <c r="F426" i="13"/>
  <c r="G426" i="13" s="1"/>
  <c r="F425" i="13"/>
  <c r="G425" i="13" s="1"/>
  <c r="F424" i="13"/>
  <c r="G424" i="13" s="1"/>
  <c r="F423" i="13"/>
  <c r="G423" i="13" s="1"/>
  <c r="F422" i="13"/>
  <c r="F421" i="13"/>
  <c r="F420" i="13"/>
  <c r="F419" i="13"/>
  <c r="F418" i="13"/>
  <c r="G418" i="13" s="1"/>
  <c r="F417" i="13"/>
  <c r="F416" i="13"/>
  <c r="F415" i="13"/>
  <c r="F414" i="13"/>
  <c r="F413" i="13"/>
  <c r="F412" i="13"/>
  <c r="F411" i="13"/>
  <c r="F410" i="13"/>
  <c r="F409" i="13"/>
  <c r="F408" i="13"/>
  <c r="F407" i="13"/>
  <c r="F406" i="13"/>
  <c r="F405" i="13"/>
  <c r="F403" i="13"/>
  <c r="F402" i="13"/>
  <c r="F401" i="13"/>
  <c r="F400" i="13"/>
  <c r="F399" i="13"/>
  <c r="F398" i="13"/>
  <c r="G398" i="13" s="1"/>
  <c r="F393" i="13"/>
  <c r="F392" i="13"/>
  <c r="F391" i="13"/>
  <c r="F390" i="13"/>
  <c r="F389" i="13"/>
  <c r="F388" i="13"/>
  <c r="F387" i="13"/>
  <c r="G387" i="13" s="1"/>
  <c r="F386" i="13"/>
  <c r="G386" i="13" s="1"/>
  <c r="F385" i="13"/>
  <c r="G385" i="13" s="1"/>
  <c r="F384" i="13"/>
  <c r="G384" i="13" s="1"/>
  <c r="F383" i="13"/>
  <c r="G383" i="13" s="1"/>
  <c r="F382" i="13"/>
  <c r="F381" i="13"/>
  <c r="F380" i="13"/>
  <c r="F379" i="13"/>
  <c r="F378" i="13"/>
  <c r="G378" i="13" s="1"/>
  <c r="F377" i="13"/>
  <c r="F376" i="13"/>
  <c r="F375" i="13"/>
  <c r="F374" i="13"/>
  <c r="F373" i="13"/>
  <c r="F372" i="13"/>
  <c r="F371" i="13"/>
  <c r="F370" i="13"/>
  <c r="F369" i="13"/>
  <c r="F368" i="13"/>
  <c r="F367" i="13"/>
  <c r="F366" i="13"/>
  <c r="F365" i="13"/>
  <c r="F363" i="13"/>
  <c r="F362" i="13"/>
  <c r="F361" i="13"/>
  <c r="F360" i="13"/>
  <c r="F359" i="13"/>
  <c r="F358" i="13"/>
  <c r="G358" i="13" s="1"/>
  <c r="F353" i="13"/>
  <c r="F352" i="13"/>
  <c r="F351" i="13"/>
  <c r="F350" i="13"/>
  <c r="F349" i="13"/>
  <c r="F348" i="13"/>
  <c r="F347" i="13"/>
  <c r="G347" i="13" s="1"/>
  <c r="F346" i="13"/>
  <c r="G346" i="13" s="1"/>
  <c r="F345" i="13"/>
  <c r="G345" i="13" s="1"/>
  <c r="F344" i="13"/>
  <c r="G344" i="13" s="1"/>
  <c r="F343" i="13"/>
  <c r="G343" i="13" s="1"/>
  <c r="F342" i="13"/>
  <c r="F341" i="13"/>
  <c r="F340" i="13"/>
  <c r="F339" i="13"/>
  <c r="F338" i="13"/>
  <c r="G338" i="13" s="1"/>
  <c r="F337" i="13"/>
  <c r="F336" i="13"/>
  <c r="F335" i="13"/>
  <c r="F334" i="13"/>
  <c r="F333" i="13"/>
  <c r="F332" i="13"/>
  <c r="F331" i="13"/>
  <c r="F330" i="13"/>
  <c r="F329" i="13"/>
  <c r="F328" i="13"/>
  <c r="F327" i="13"/>
  <c r="F326" i="13"/>
  <c r="F325" i="13"/>
  <c r="F323" i="13"/>
  <c r="F322" i="13"/>
  <c r="F321" i="13"/>
  <c r="F320" i="13"/>
  <c r="F319" i="13"/>
  <c r="F318" i="13"/>
  <c r="G318" i="13" s="1"/>
  <c r="F313" i="13"/>
  <c r="F312" i="13"/>
  <c r="F311" i="13"/>
  <c r="F310" i="13"/>
  <c r="F309" i="13"/>
  <c r="F308" i="13"/>
  <c r="F307" i="13"/>
  <c r="G307" i="13" s="1"/>
  <c r="F306" i="13"/>
  <c r="G306" i="13" s="1"/>
  <c r="F305" i="13"/>
  <c r="G305" i="13" s="1"/>
  <c r="F304" i="13"/>
  <c r="G304" i="13" s="1"/>
  <c r="F303" i="13"/>
  <c r="G303" i="13" s="1"/>
  <c r="F302" i="13"/>
  <c r="F301" i="13"/>
  <c r="F300" i="13"/>
  <c r="F299" i="13"/>
  <c r="F298" i="13"/>
  <c r="G298" i="13" s="1"/>
  <c r="F297" i="13"/>
  <c r="F296" i="13"/>
  <c r="F295" i="13"/>
  <c r="F294" i="13"/>
  <c r="F293" i="13"/>
  <c r="F292" i="13"/>
  <c r="F291" i="13"/>
  <c r="F290" i="13"/>
  <c r="F289" i="13"/>
  <c r="F288" i="13"/>
  <c r="F287" i="13"/>
  <c r="F286" i="13"/>
  <c r="F285" i="13"/>
  <c r="F283" i="13"/>
  <c r="F282" i="13"/>
  <c r="F281" i="13"/>
  <c r="F280" i="13"/>
  <c r="F279" i="13"/>
  <c r="F278" i="13"/>
  <c r="G278" i="13" s="1"/>
  <c r="F273" i="13"/>
  <c r="F272" i="13"/>
  <c r="F271" i="13"/>
  <c r="F270" i="13"/>
  <c r="F269" i="13"/>
  <c r="F268" i="13"/>
  <c r="F267" i="13"/>
  <c r="G267" i="13" s="1"/>
  <c r="F266" i="13"/>
  <c r="G266" i="13" s="1"/>
  <c r="F265" i="13"/>
  <c r="G265" i="13" s="1"/>
  <c r="F264" i="13"/>
  <c r="G264" i="13" s="1"/>
  <c r="F263" i="13"/>
  <c r="G263" i="13" s="1"/>
  <c r="F262" i="13"/>
  <c r="F261" i="13"/>
  <c r="F260" i="13"/>
  <c r="F259" i="13"/>
  <c r="F258" i="13"/>
  <c r="G258" i="13" s="1"/>
  <c r="F257" i="13"/>
  <c r="F256" i="13"/>
  <c r="F255" i="13"/>
  <c r="F254" i="13"/>
  <c r="F253" i="13"/>
  <c r="F252" i="13"/>
  <c r="F251" i="13"/>
  <c r="F250" i="13"/>
  <c r="F249" i="13"/>
  <c r="F248" i="13"/>
  <c r="F247" i="13"/>
  <c r="F246" i="13"/>
  <c r="F245" i="13"/>
  <c r="F243" i="13"/>
  <c r="F242" i="13"/>
  <c r="F241" i="13"/>
  <c r="F240" i="13"/>
  <c r="F239" i="13"/>
  <c r="F238" i="13"/>
  <c r="G238" i="13" s="1"/>
  <c r="F233" i="13"/>
  <c r="F232" i="13"/>
  <c r="F231" i="13"/>
  <c r="F230" i="13"/>
  <c r="F229" i="13"/>
  <c r="F228" i="13"/>
  <c r="F227" i="13"/>
  <c r="G227" i="13" s="1"/>
  <c r="F226" i="13"/>
  <c r="G226" i="13" s="1"/>
  <c r="F225" i="13"/>
  <c r="G225" i="13" s="1"/>
  <c r="F224" i="13"/>
  <c r="G224" i="13" s="1"/>
  <c r="F223" i="13"/>
  <c r="G223" i="13" s="1"/>
  <c r="F222" i="13"/>
  <c r="F221" i="13"/>
  <c r="F220" i="13"/>
  <c r="F219" i="13"/>
  <c r="F218" i="13"/>
  <c r="G218" i="13" s="1"/>
  <c r="F217" i="13"/>
  <c r="F216" i="13"/>
  <c r="F215" i="13"/>
  <c r="F214" i="13"/>
  <c r="F213" i="13"/>
  <c r="F212" i="13"/>
  <c r="F211" i="13"/>
  <c r="F210" i="13"/>
  <c r="F209" i="13"/>
  <c r="F208" i="13"/>
  <c r="F207" i="13"/>
  <c r="F206" i="13"/>
  <c r="F205" i="13"/>
  <c r="F203" i="13"/>
  <c r="F202" i="13"/>
  <c r="F201" i="13"/>
  <c r="F200" i="13"/>
  <c r="F199" i="13"/>
  <c r="F198" i="13"/>
  <c r="G198" i="13" s="1"/>
  <c r="F194" i="13"/>
  <c r="F193" i="13"/>
  <c r="F192" i="13"/>
  <c r="F191" i="13"/>
  <c r="F190" i="13"/>
  <c r="F189" i="13"/>
  <c r="F188" i="13"/>
  <c r="G188" i="13" s="1"/>
  <c r="I17" i="14" s="1"/>
  <c r="F187" i="13"/>
  <c r="G187" i="13" s="1"/>
  <c r="I16" i="14" s="1"/>
  <c r="F186" i="13"/>
  <c r="G186" i="13" s="1"/>
  <c r="I15" i="14" s="1"/>
  <c r="F185" i="13"/>
  <c r="G185" i="13" s="1"/>
  <c r="I14" i="14" s="1"/>
  <c r="F184" i="13"/>
  <c r="G184" i="13" s="1"/>
  <c r="I13" i="14" s="1"/>
  <c r="F183" i="13"/>
  <c r="F182" i="13"/>
  <c r="F181" i="13"/>
  <c r="F180" i="13"/>
  <c r="F179" i="13"/>
  <c r="G179" i="13" s="1"/>
  <c r="F178" i="13"/>
  <c r="F177" i="13"/>
  <c r="F176" i="13"/>
  <c r="F175" i="13"/>
  <c r="F174" i="13"/>
  <c r="F173" i="13"/>
  <c r="F172" i="13"/>
  <c r="F171" i="13"/>
  <c r="F170" i="13"/>
  <c r="F169" i="13"/>
  <c r="F168" i="13"/>
  <c r="F167" i="13"/>
  <c r="F166" i="13"/>
  <c r="F164" i="13"/>
  <c r="F163" i="13"/>
  <c r="F162" i="13"/>
  <c r="F161" i="13"/>
  <c r="F160" i="13"/>
  <c r="F159" i="13"/>
  <c r="G159" i="13" s="1"/>
  <c r="F155" i="13"/>
  <c r="F154" i="13"/>
  <c r="F153" i="13"/>
  <c r="F152" i="13"/>
  <c r="F151" i="13"/>
  <c r="F150" i="13"/>
  <c r="F149" i="13"/>
  <c r="G149" i="13" s="1"/>
  <c r="H17" i="14" s="1"/>
  <c r="F148" i="13"/>
  <c r="G148" i="13" s="1"/>
  <c r="H16" i="14" s="1"/>
  <c r="F147" i="13"/>
  <c r="G147" i="13" s="1"/>
  <c r="H15" i="14" s="1"/>
  <c r="F146" i="13"/>
  <c r="G146" i="13" s="1"/>
  <c r="H14" i="14" s="1"/>
  <c r="F145" i="13"/>
  <c r="G145" i="13" s="1"/>
  <c r="H13" i="14" s="1"/>
  <c r="F144" i="13"/>
  <c r="F143" i="13"/>
  <c r="F142" i="13"/>
  <c r="F141" i="13"/>
  <c r="F140" i="13"/>
  <c r="G140" i="13" s="1"/>
  <c r="F139" i="13"/>
  <c r="F138" i="13"/>
  <c r="F137" i="13"/>
  <c r="F136" i="13"/>
  <c r="F135" i="13"/>
  <c r="F134" i="13"/>
  <c r="F133" i="13"/>
  <c r="F132" i="13"/>
  <c r="F131" i="13"/>
  <c r="F130" i="13"/>
  <c r="F129" i="13"/>
  <c r="F128" i="13"/>
  <c r="F127" i="13"/>
  <c r="F125" i="13"/>
  <c r="F124" i="13"/>
  <c r="F123" i="13"/>
  <c r="F122" i="13"/>
  <c r="F121" i="13"/>
  <c r="F120" i="13"/>
  <c r="G120" i="13" s="1"/>
  <c r="F116" i="13"/>
  <c r="F115" i="13"/>
  <c r="F114" i="13"/>
  <c r="F113" i="13"/>
  <c r="F112" i="13"/>
  <c r="F111" i="13"/>
  <c r="F110" i="13"/>
  <c r="G110" i="13" s="1"/>
  <c r="G17" i="14" s="1"/>
  <c r="F109" i="13"/>
  <c r="G109" i="13" s="1"/>
  <c r="G16" i="14" s="1"/>
  <c r="F108" i="13"/>
  <c r="G108" i="13" s="1"/>
  <c r="G15" i="14" s="1"/>
  <c r="F107" i="13"/>
  <c r="G107" i="13" s="1"/>
  <c r="G14" i="14" s="1"/>
  <c r="F106" i="13"/>
  <c r="G106" i="13" s="1"/>
  <c r="G13" i="14" s="1"/>
  <c r="F105" i="13"/>
  <c r="F104" i="13"/>
  <c r="F103" i="13"/>
  <c r="F102" i="13"/>
  <c r="F101" i="13"/>
  <c r="G101" i="13" s="1"/>
  <c r="F100" i="13"/>
  <c r="F99" i="13"/>
  <c r="F98" i="13"/>
  <c r="F97" i="13"/>
  <c r="F96" i="13"/>
  <c r="F95" i="13"/>
  <c r="F94" i="13"/>
  <c r="F93" i="13"/>
  <c r="F92" i="13"/>
  <c r="F91" i="13"/>
  <c r="F90" i="13"/>
  <c r="F89" i="13"/>
  <c r="F88" i="13"/>
  <c r="F86" i="13"/>
  <c r="F85" i="13"/>
  <c r="F84" i="13"/>
  <c r="F83" i="13"/>
  <c r="F82" i="13"/>
  <c r="F81" i="13"/>
  <c r="G81" i="13" s="1"/>
  <c r="F77" i="13"/>
  <c r="F76" i="13"/>
  <c r="F75" i="13"/>
  <c r="F74" i="13"/>
  <c r="F73" i="13"/>
  <c r="F72" i="13"/>
  <c r="F71" i="13"/>
  <c r="G71" i="13" s="1"/>
  <c r="F17" i="14" s="1"/>
  <c r="F70" i="13"/>
  <c r="G70" i="13" s="1"/>
  <c r="F16" i="14" s="1"/>
  <c r="F69" i="13"/>
  <c r="G69" i="13" s="1"/>
  <c r="F15" i="14" s="1"/>
  <c r="F68" i="13"/>
  <c r="G68" i="13" s="1"/>
  <c r="F14" i="14" s="1"/>
  <c r="F67" i="13"/>
  <c r="G67" i="13" s="1"/>
  <c r="F13" i="14" s="1"/>
  <c r="F66" i="13"/>
  <c r="F65" i="13"/>
  <c r="F64" i="13"/>
  <c r="F63" i="13"/>
  <c r="F62" i="13"/>
  <c r="G62" i="13" s="1"/>
  <c r="F61" i="13"/>
  <c r="F60" i="13"/>
  <c r="F59" i="13"/>
  <c r="F58" i="13"/>
  <c r="F57" i="13"/>
  <c r="F56" i="13"/>
  <c r="F55" i="13"/>
  <c r="F54" i="13"/>
  <c r="F53" i="13"/>
  <c r="F52" i="13"/>
  <c r="F51" i="13"/>
  <c r="F50" i="13"/>
  <c r="F49" i="13"/>
  <c r="F47" i="13"/>
  <c r="F46" i="13"/>
  <c r="F45" i="13"/>
  <c r="F44" i="13"/>
  <c r="F43" i="13"/>
  <c r="F42" i="13"/>
  <c r="G42" i="13" s="1"/>
  <c r="F28" i="13"/>
  <c r="F27" i="13"/>
  <c r="F26" i="13"/>
  <c r="F25" i="13"/>
  <c r="F24" i="13"/>
  <c r="F32" i="13"/>
  <c r="G154" i="13" l="1"/>
  <c r="G405" i="13"/>
  <c r="G205" i="13"/>
  <c r="G352" i="13"/>
  <c r="M19" i="14" s="1"/>
  <c r="G432" i="13"/>
  <c r="O19" i="14" s="1"/>
  <c r="G245" i="13"/>
  <c r="G407" i="13"/>
  <c r="G327" i="13"/>
  <c r="G243" i="13"/>
  <c r="H243" i="13" s="1"/>
  <c r="I243" i="13" s="1"/>
  <c r="G250" i="13"/>
  <c r="G312" i="13"/>
  <c r="L19" i="14" s="1"/>
  <c r="G392" i="13"/>
  <c r="N19" i="14" s="1"/>
  <c r="G247" i="13"/>
  <c r="G299" i="13"/>
  <c r="G290" i="13"/>
  <c r="G367" i="13"/>
  <c r="G210" i="13"/>
  <c r="G283" i="13"/>
  <c r="H283" i="13" s="1"/>
  <c r="I283" i="13" s="1"/>
  <c r="G379" i="13"/>
  <c r="G348" i="13"/>
  <c r="H348" i="13" s="1"/>
  <c r="I348" i="13" s="1"/>
  <c r="G268" i="13"/>
  <c r="G399" i="13"/>
  <c r="H398" i="13" s="1"/>
  <c r="I398" i="13" s="1"/>
  <c r="G308" i="13"/>
  <c r="G279" i="13"/>
  <c r="H278" i="13" s="1"/>
  <c r="I278" i="13" s="1"/>
  <c r="G403" i="13"/>
  <c r="H403" i="13" s="1"/>
  <c r="I403" i="13" s="1"/>
  <c r="G419" i="13"/>
  <c r="G76" i="13"/>
  <c r="G203" i="13"/>
  <c r="H203" i="13" s="1"/>
  <c r="I203" i="13" s="1"/>
  <c r="G219" i="13"/>
  <c r="G199" i="13"/>
  <c r="H198" i="13" s="1"/>
  <c r="I198" i="13" s="1"/>
  <c r="G228" i="13"/>
  <c r="G207" i="13"/>
  <c r="H224" i="13"/>
  <c r="I224" i="13" s="1"/>
  <c r="G259" i="13"/>
  <c r="G239" i="13"/>
  <c r="H238" i="13" s="1"/>
  <c r="I238" i="13" s="1"/>
  <c r="G285" i="13"/>
  <c r="G287" i="13"/>
  <c r="G319" i="13"/>
  <c r="H318" i="13" s="1"/>
  <c r="H344" i="13"/>
  <c r="I344" i="13" s="1"/>
  <c r="G330" i="13"/>
  <c r="G323" i="13"/>
  <c r="H323" i="13" s="1"/>
  <c r="I323" i="13" s="1"/>
  <c r="G339" i="13"/>
  <c r="G388" i="13"/>
  <c r="G363" i="13"/>
  <c r="H363" i="13" s="1"/>
  <c r="I363" i="13" s="1"/>
  <c r="G370" i="13"/>
  <c r="G365" i="13"/>
  <c r="G359" i="13"/>
  <c r="H358" i="13" s="1"/>
  <c r="I358" i="13" s="1"/>
  <c r="G410" i="13"/>
  <c r="G428" i="13"/>
  <c r="G325" i="13"/>
  <c r="G193" i="13"/>
  <c r="G232" i="13"/>
  <c r="J19" i="14" s="1"/>
  <c r="G272" i="13"/>
  <c r="K19" i="14" s="1"/>
  <c r="H424" i="13"/>
  <c r="I424" i="13" s="1"/>
  <c r="H384" i="13"/>
  <c r="I384" i="13" s="1"/>
  <c r="H304" i="13"/>
  <c r="I304" i="13" s="1"/>
  <c r="H264" i="13"/>
  <c r="I264" i="13" s="1"/>
  <c r="G49" i="13"/>
  <c r="G129" i="13"/>
  <c r="G127" i="13"/>
  <c r="G43" i="13"/>
  <c r="H42" i="13" s="1"/>
  <c r="I42" i="13" s="1"/>
  <c r="G115" i="13"/>
  <c r="G54" i="13"/>
  <c r="G86" i="13"/>
  <c r="H86" i="13" s="1"/>
  <c r="I86" i="13" s="1"/>
  <c r="G166" i="13"/>
  <c r="G47" i="13"/>
  <c r="H47" i="13" s="1"/>
  <c r="I47" i="13" s="1"/>
  <c r="G63" i="13"/>
  <c r="G150" i="13"/>
  <c r="G88" i="13"/>
  <c r="G121" i="13"/>
  <c r="H120" i="13" s="1"/>
  <c r="G82" i="13"/>
  <c r="H81" i="13" s="1"/>
  <c r="G90" i="13"/>
  <c r="G111" i="13"/>
  <c r="G18" i="14" s="1"/>
  <c r="G189" i="13"/>
  <c r="I18" i="14" s="1"/>
  <c r="G160" i="13"/>
  <c r="H159" i="13" s="1"/>
  <c r="G168" i="13"/>
  <c r="G93" i="13"/>
  <c r="H185" i="13"/>
  <c r="G125" i="13"/>
  <c r="H125" i="13" s="1"/>
  <c r="I125" i="13" s="1"/>
  <c r="G132" i="13"/>
  <c r="G164" i="13"/>
  <c r="H164" i="13" s="1"/>
  <c r="I164" i="13" s="1"/>
  <c r="G171" i="13"/>
  <c r="G102" i="13"/>
  <c r="G180" i="13"/>
  <c r="G51" i="13"/>
  <c r="G72" i="13"/>
  <c r="G141" i="13"/>
  <c r="H146" i="13"/>
  <c r="H107" i="13"/>
  <c r="H68" i="13"/>
  <c r="F36" i="13"/>
  <c r="F35" i="13"/>
  <c r="F34" i="13"/>
  <c r="F33" i="13"/>
  <c r="G32" i="13"/>
  <c r="E17" i="14" s="1"/>
  <c r="F31" i="13"/>
  <c r="G31" i="13" s="1"/>
  <c r="E16" i="14" s="1"/>
  <c r="F30" i="13"/>
  <c r="G30" i="13" s="1"/>
  <c r="E15" i="14" s="1"/>
  <c r="G28" i="13"/>
  <c r="E13" i="14" s="1"/>
  <c r="F23" i="13"/>
  <c r="G23" i="13" s="1"/>
  <c r="F18" i="13"/>
  <c r="F17" i="13"/>
  <c r="F7" i="13"/>
  <c r="F38" i="13"/>
  <c r="F37" i="13"/>
  <c r="F29" i="13"/>
  <c r="G29" i="13" s="1"/>
  <c r="E14" i="14" s="1"/>
  <c r="F22" i="13"/>
  <c r="F21" i="13"/>
  <c r="F20" i="13"/>
  <c r="F19" i="13"/>
  <c r="F16" i="13"/>
  <c r="F15" i="13"/>
  <c r="F14" i="13"/>
  <c r="F13" i="13"/>
  <c r="F12" i="13"/>
  <c r="F11" i="13"/>
  <c r="F10" i="13"/>
  <c r="F8" i="13"/>
  <c r="F6" i="13"/>
  <c r="F5" i="13"/>
  <c r="F4" i="13"/>
  <c r="F3" i="13"/>
  <c r="G3" i="13" s="1"/>
  <c r="F90" i="2"/>
  <c r="F89" i="2"/>
  <c r="F50" i="2"/>
  <c r="F85" i="2"/>
  <c r="F45" i="2"/>
  <c r="F107" i="1"/>
  <c r="F67" i="2"/>
  <c r="F107" i="2"/>
  <c r="F106" i="2"/>
  <c r="F105" i="2"/>
  <c r="F104" i="2"/>
  <c r="F103" i="2"/>
  <c r="F65" i="2"/>
  <c r="S555" i="1"/>
  <c r="S554" i="1"/>
  <c r="X555" i="1"/>
  <c r="F64" i="2"/>
  <c r="H428" i="13" l="1"/>
  <c r="I428" i="13" s="1"/>
  <c r="H228" i="13"/>
  <c r="I228" i="13" s="1"/>
  <c r="H245" i="13"/>
  <c r="I245" i="13" s="1"/>
  <c r="H365" i="13"/>
  <c r="I365" i="13" s="1"/>
  <c r="H285" i="13"/>
  <c r="I285" i="13" s="1"/>
  <c r="I68" i="13"/>
  <c r="F28" i="14"/>
  <c r="I107" i="13"/>
  <c r="G28" i="14"/>
  <c r="I146" i="13"/>
  <c r="H28" i="14"/>
  <c r="H308" i="13"/>
  <c r="I308" i="13" s="1"/>
  <c r="I185" i="13"/>
  <c r="I28" i="14"/>
  <c r="H388" i="13"/>
  <c r="I388" i="13" s="1"/>
  <c r="H325" i="13"/>
  <c r="I325" i="13" s="1"/>
  <c r="H205" i="13"/>
  <c r="I205" i="13" s="1"/>
  <c r="H405" i="13"/>
  <c r="I405" i="13" s="1"/>
  <c r="H72" i="13"/>
  <c r="F18" i="14"/>
  <c r="H150" i="13"/>
  <c r="H18" i="14"/>
  <c r="H268" i="13"/>
  <c r="I268" i="13" s="1"/>
  <c r="H189" i="13"/>
  <c r="I318" i="13"/>
  <c r="H127" i="13"/>
  <c r="I127" i="13" s="1"/>
  <c r="H88" i="13"/>
  <c r="I88" i="13" s="1"/>
  <c r="H49" i="13"/>
  <c r="I49" i="13" s="1"/>
  <c r="H166" i="13"/>
  <c r="I166" i="13" s="1"/>
  <c r="H111" i="13"/>
  <c r="I159" i="13"/>
  <c r="I120" i="13"/>
  <c r="I81" i="13"/>
  <c r="G37" i="13"/>
  <c r="G4" i="13"/>
  <c r="H3" i="13" s="1"/>
  <c r="I3" i="13" s="1"/>
  <c r="G12" i="13"/>
  <c r="G10" i="13"/>
  <c r="G33" i="13"/>
  <c r="E18" i="14" s="1"/>
  <c r="H29" i="13"/>
  <c r="G24" i="13"/>
  <c r="G15" i="13"/>
  <c r="G8" i="13"/>
  <c r="H8" i="13" s="1"/>
  <c r="I8" i="13" s="1"/>
  <c r="G89" i="2"/>
  <c r="S452" i="1"/>
  <c r="F63" i="2"/>
  <c r="S385" i="1"/>
  <c r="S386" i="1"/>
  <c r="J198" i="13" l="1"/>
  <c r="K198" i="13" s="1"/>
  <c r="J318" i="13"/>
  <c r="K318" i="13" s="1"/>
  <c r="J278" i="13"/>
  <c r="K278" i="13" s="1"/>
  <c r="I29" i="13"/>
  <c r="E28" i="14"/>
  <c r="I72" i="13"/>
  <c r="F29" i="14"/>
  <c r="I111" i="13"/>
  <c r="G29" i="14"/>
  <c r="I150" i="13"/>
  <c r="H29" i="14"/>
  <c r="I189" i="13"/>
  <c r="I29" i="14"/>
  <c r="J358" i="13"/>
  <c r="K358" i="13" s="1"/>
  <c r="J398" i="13"/>
  <c r="K398" i="13" s="1"/>
  <c r="J238" i="13"/>
  <c r="K238" i="13" s="1"/>
  <c r="J120" i="13"/>
  <c r="K120" i="13" s="1"/>
  <c r="J159" i="13"/>
  <c r="K159" i="13" s="1"/>
  <c r="J42" i="13"/>
  <c r="K42" i="13" s="1"/>
  <c r="J81" i="13"/>
  <c r="K81" i="13" s="1"/>
  <c r="H33" i="13"/>
  <c r="H10" i="13"/>
  <c r="I10" i="13" s="1"/>
  <c r="S320" i="1"/>
  <c r="S319" i="1"/>
  <c r="S353" i="1"/>
  <c r="I33" i="13" l="1"/>
  <c r="E29" i="14"/>
  <c r="J3" i="13"/>
  <c r="K3" i="13" s="1"/>
  <c r="F70" i="2"/>
  <c r="F75" i="2"/>
  <c r="F74" i="2"/>
  <c r="F73" i="2"/>
  <c r="F72" i="2"/>
  <c r="F71" i="2"/>
  <c r="F69" i="2"/>
  <c r="F113" i="2"/>
  <c r="F110" i="2"/>
  <c r="G110" i="2" s="1"/>
  <c r="F115" i="2"/>
  <c r="F109" i="2"/>
  <c r="G109" i="2" s="1"/>
  <c r="F114" i="2"/>
  <c r="F111" i="2"/>
  <c r="G111" i="2" s="1"/>
  <c r="F112" i="2" l="1"/>
  <c r="F74" i="1" l="1"/>
  <c r="F43" i="2" l="1"/>
  <c r="F101" i="2" l="1"/>
  <c r="F100" i="2"/>
  <c r="F61" i="2"/>
  <c r="F60" i="2"/>
  <c r="F108" i="2" l="1"/>
  <c r="G108" i="2" s="1"/>
  <c r="H108" i="2" s="1"/>
  <c r="F68" i="2" l="1"/>
  <c r="G69" i="2" l="1"/>
  <c r="C33" i="2" s="1"/>
  <c r="C15" i="14" s="1"/>
  <c r="D33" i="2"/>
  <c r="D15" i="14" s="1"/>
  <c r="F49" i="2"/>
  <c r="G49" i="2" s="1"/>
  <c r="F46" i="2"/>
  <c r="F77" i="2"/>
  <c r="F76" i="2"/>
  <c r="F117" i="2"/>
  <c r="F116" i="2"/>
  <c r="F83" i="2"/>
  <c r="F82" i="2"/>
  <c r="G82" i="2" s="1"/>
  <c r="F42" i="2"/>
  <c r="G42" i="2" s="1"/>
  <c r="F66" i="2"/>
  <c r="F44" i="2"/>
  <c r="O11" i="14"/>
  <c r="N11" i="14"/>
  <c r="M11" i="14"/>
  <c r="L11" i="14"/>
  <c r="K11" i="14"/>
  <c r="J11" i="14"/>
  <c r="I11" i="14"/>
  <c r="H11" i="14"/>
  <c r="G11" i="14"/>
  <c r="F11" i="14"/>
  <c r="E11" i="14"/>
  <c r="F102" i="2"/>
  <c r="G102" i="2" s="1"/>
  <c r="F62" i="2"/>
  <c r="G62" i="2" s="1"/>
  <c r="N8" i="14"/>
  <c r="K8" i="14"/>
  <c r="J8" i="14"/>
  <c r="H8" i="14"/>
  <c r="E8" i="14"/>
  <c r="D26" i="2"/>
  <c r="D8" i="14" s="1"/>
  <c r="F4" i="14"/>
  <c r="G4" i="14"/>
  <c r="G24" i="14" s="1"/>
  <c r="H4" i="14"/>
  <c r="H24" i="14" s="1"/>
  <c r="I4" i="14"/>
  <c r="I24" i="14" s="1"/>
  <c r="J4" i="14"/>
  <c r="J24" i="14" s="1"/>
  <c r="O4" i="14"/>
  <c r="O24" i="14" s="1"/>
  <c r="N4" i="14"/>
  <c r="N24" i="14" s="1"/>
  <c r="M4" i="14"/>
  <c r="M24" i="14" s="1"/>
  <c r="L4" i="14"/>
  <c r="L24" i="14" s="1"/>
  <c r="K4" i="14"/>
  <c r="K24" i="14" s="1"/>
  <c r="O17" i="14"/>
  <c r="O16" i="14"/>
  <c r="O14" i="14"/>
  <c r="O13" i="14"/>
  <c r="N17" i="14"/>
  <c r="N16" i="14"/>
  <c r="N13" i="14"/>
  <c r="N5" i="14"/>
  <c r="M17" i="14"/>
  <c r="M16" i="14"/>
  <c r="M13" i="14"/>
  <c r="M5" i="14"/>
  <c r="L17" i="14"/>
  <c r="L16" i="14"/>
  <c r="L14" i="14"/>
  <c r="L13" i="14"/>
  <c r="L5" i="14"/>
  <c r="K14" i="14"/>
  <c r="F86" i="2"/>
  <c r="F84" i="2"/>
  <c r="K17" i="14"/>
  <c r="K16" i="14"/>
  <c r="K13" i="14"/>
  <c r="K5" i="14"/>
  <c r="J17" i="14"/>
  <c r="J16" i="14"/>
  <c r="J13" i="14"/>
  <c r="J5" i="14"/>
  <c r="I19" i="14"/>
  <c r="H19" i="14"/>
  <c r="H5" i="14"/>
  <c r="G19" i="14"/>
  <c r="F19" i="14"/>
  <c r="F5" i="14"/>
  <c r="E19" i="14"/>
  <c r="E5" i="14"/>
  <c r="F99" i="2"/>
  <c r="F98" i="2"/>
  <c r="F59" i="2"/>
  <c r="F58" i="2"/>
  <c r="H113" i="1"/>
  <c r="C113" i="1"/>
  <c r="H112" i="1"/>
  <c r="C112" i="1"/>
  <c r="H111" i="1"/>
  <c r="C111" i="1"/>
  <c r="F97" i="2"/>
  <c r="F96" i="2"/>
  <c r="F93" i="2"/>
  <c r="F53" i="2"/>
  <c r="G107" i="2"/>
  <c r="G67" i="2"/>
  <c r="G68" i="2"/>
  <c r="C32" i="2" s="1"/>
  <c r="C14" i="14" s="1"/>
  <c r="G71" i="2"/>
  <c r="G70" i="2"/>
  <c r="F55" i="2"/>
  <c r="S151" i="1"/>
  <c r="F91" i="2"/>
  <c r="F51" i="2"/>
  <c r="F87" i="2"/>
  <c r="G87" i="2" s="1"/>
  <c r="F47" i="2"/>
  <c r="G47" i="2" s="1"/>
  <c r="H47" i="2" s="1"/>
  <c r="C26" i="14" s="1"/>
  <c r="F95" i="2"/>
  <c r="F94" i="2"/>
  <c r="F54" i="2"/>
  <c r="F12" i="2"/>
  <c r="F11" i="2"/>
  <c r="F92" i="2"/>
  <c r="F52" i="2"/>
  <c r="G116" i="2" l="1"/>
  <c r="D37" i="2" s="1"/>
  <c r="D19" i="14" s="1"/>
  <c r="H30" i="14"/>
  <c r="H31" i="14" s="1"/>
  <c r="F24" i="14"/>
  <c r="G43" i="2"/>
  <c r="H42" i="2" s="1"/>
  <c r="C23" i="2"/>
  <c r="C5" i="14" s="1"/>
  <c r="F13" i="2"/>
  <c r="J9" i="14"/>
  <c r="O9" i="14"/>
  <c r="K9" i="14"/>
  <c r="M9" i="14"/>
  <c r="J6" i="14"/>
  <c r="O6" i="14"/>
  <c r="I9" i="14"/>
  <c r="F9" i="14"/>
  <c r="F25" i="14"/>
  <c r="L9" i="14"/>
  <c r="H9" i="14"/>
  <c r="F6" i="14"/>
  <c r="N15" i="14"/>
  <c r="L6" i="14"/>
  <c r="I7" i="14"/>
  <c r="E9" i="14"/>
  <c r="N9" i="14"/>
  <c r="M25" i="14"/>
  <c r="D29" i="2"/>
  <c r="D11" i="14" s="1"/>
  <c r="L15" i="14"/>
  <c r="H25" i="14"/>
  <c r="K6" i="14"/>
  <c r="I6" i="14"/>
  <c r="G94" i="2"/>
  <c r="O7" i="14"/>
  <c r="G7" i="14"/>
  <c r="K10" i="14"/>
  <c r="L10" i="14"/>
  <c r="L12" i="14"/>
  <c r="E10" i="14"/>
  <c r="G6" i="14"/>
  <c r="F12" i="14"/>
  <c r="G51" i="2"/>
  <c r="H12" i="14"/>
  <c r="K12" i="14"/>
  <c r="G76" i="2"/>
  <c r="C37" i="2" s="1"/>
  <c r="C19" i="14" s="1"/>
  <c r="G91" i="2"/>
  <c r="M12" i="14"/>
  <c r="E12" i="14"/>
  <c r="O10" i="14"/>
  <c r="G12" i="14"/>
  <c r="H10" i="14"/>
  <c r="G10" i="14"/>
  <c r="C25" i="2"/>
  <c r="C7" i="14" s="1"/>
  <c r="C26" i="2"/>
  <c r="C8" i="14" s="1"/>
  <c r="D23" i="2"/>
  <c r="D5" i="14" s="1"/>
  <c r="C34" i="2"/>
  <c r="C16" i="14" s="1"/>
  <c r="D34" i="2"/>
  <c r="D16" i="14" s="1"/>
  <c r="J15" i="14"/>
  <c r="N10" i="14"/>
  <c r="O15" i="14"/>
  <c r="G112" i="2"/>
  <c r="D36" i="2" s="1"/>
  <c r="D18" i="14" s="1"/>
  <c r="L18" i="14"/>
  <c r="C29" i="2"/>
  <c r="C11" i="14" s="1"/>
  <c r="J18" i="14"/>
  <c r="K15" i="14"/>
  <c r="J12" i="14"/>
  <c r="O18" i="14"/>
  <c r="G54" i="2"/>
  <c r="G83" i="2"/>
  <c r="M6" i="14"/>
  <c r="G72" i="2"/>
  <c r="C36" i="2" s="1"/>
  <c r="C18" i="14" s="1"/>
  <c r="D35" i="2"/>
  <c r="D17" i="14" s="1"/>
  <c r="F8" i="14"/>
  <c r="M14" i="14"/>
  <c r="I5" i="14"/>
  <c r="M8" i="14"/>
  <c r="O12" i="14"/>
  <c r="D25" i="2"/>
  <c r="D7" i="14" s="1"/>
  <c r="I47" i="2"/>
  <c r="H26" i="2"/>
  <c r="G9" i="14"/>
  <c r="I8" i="14"/>
  <c r="O5" i="14"/>
  <c r="C31" i="2"/>
  <c r="C13" i="14" s="1"/>
  <c r="G5" i="14"/>
  <c r="H87" i="2"/>
  <c r="M10" i="14"/>
  <c r="N6" i="14"/>
  <c r="C35" i="2"/>
  <c r="C17" i="14" s="1"/>
  <c r="J10" i="14"/>
  <c r="D31" i="2"/>
  <c r="D13" i="14" s="1"/>
  <c r="D32" i="2"/>
  <c r="D14" i="14" s="1"/>
  <c r="I32" i="2"/>
  <c r="I10" i="14"/>
  <c r="J14" i="14"/>
  <c r="N14" i="14"/>
  <c r="F10" i="14"/>
  <c r="E6" i="14"/>
  <c r="H6" i="14"/>
  <c r="I12" i="14"/>
  <c r="A35" i="14"/>
  <c r="H68" i="2"/>
  <c r="L8" i="14"/>
  <c r="G8" i="14"/>
  <c r="G103" i="2"/>
  <c r="O8" i="14"/>
  <c r="G63" i="2"/>
  <c r="M15" i="14"/>
  <c r="N12" i="14"/>
  <c r="H32" i="2" l="1"/>
  <c r="J32" i="2" s="1"/>
  <c r="C28" i="14"/>
  <c r="H49" i="2"/>
  <c r="C27" i="14" s="1"/>
  <c r="D28" i="2"/>
  <c r="D10" i="14" s="1"/>
  <c r="H89" i="2"/>
  <c r="J25" i="14"/>
  <c r="J26" i="14"/>
  <c r="K25" i="14"/>
  <c r="O28" i="14"/>
  <c r="H7" i="14"/>
  <c r="N18" i="14"/>
  <c r="I26" i="14"/>
  <c r="G26" i="14"/>
  <c r="J28" i="14"/>
  <c r="J7" i="14"/>
  <c r="L7" i="14"/>
  <c r="E25" i="14"/>
  <c r="O29" i="14"/>
  <c r="O30" i="14" s="1"/>
  <c r="O31" i="14" s="1"/>
  <c r="D27" i="2"/>
  <c r="D9" i="14" s="1"/>
  <c r="M18" i="14"/>
  <c r="H72" i="2"/>
  <c r="H35" i="2" s="1"/>
  <c r="E7" i="14"/>
  <c r="C27" i="2"/>
  <c r="C9" i="14" s="1"/>
  <c r="N29" i="14"/>
  <c r="N30" i="14" s="1"/>
  <c r="N31" i="14" s="1"/>
  <c r="H112" i="2"/>
  <c r="I35" i="2" s="1"/>
  <c r="E27" i="14"/>
  <c r="K7" i="14"/>
  <c r="L29" i="14"/>
  <c r="L30" i="14" s="1"/>
  <c r="L31" i="14" s="1"/>
  <c r="M7" i="14"/>
  <c r="H82" i="2"/>
  <c r="I23" i="2" s="1"/>
  <c r="C28" i="2"/>
  <c r="C10" i="14" s="1"/>
  <c r="K29" i="14"/>
  <c r="K30" i="14" s="1"/>
  <c r="K31" i="14" s="1"/>
  <c r="D24" i="2"/>
  <c r="D6" i="14" s="1"/>
  <c r="K18" i="14"/>
  <c r="I108" i="2"/>
  <c r="D28" i="14"/>
  <c r="N7" i="14"/>
  <c r="M29" i="14"/>
  <c r="M30" i="14" s="1"/>
  <c r="M31" i="14" s="1"/>
  <c r="C24" i="2"/>
  <c r="C6" i="14" s="1"/>
  <c r="L25" i="14"/>
  <c r="E26" i="14"/>
  <c r="G25" i="14"/>
  <c r="N25" i="14"/>
  <c r="L26" i="14"/>
  <c r="D30" i="2"/>
  <c r="D12" i="14" s="1"/>
  <c r="H26" i="14"/>
  <c r="I25" i="14"/>
  <c r="I87" i="2"/>
  <c r="I26" i="2"/>
  <c r="J26" i="2" s="1"/>
  <c r="D26" i="14"/>
  <c r="I68" i="2"/>
  <c r="O25" i="14"/>
  <c r="C30" i="2"/>
  <c r="C12" i="14" s="1"/>
  <c r="F7" i="14"/>
  <c r="C29" i="14" l="1"/>
  <c r="O26" i="14"/>
  <c r="E30" i="14"/>
  <c r="E31" i="14" s="1"/>
  <c r="N28" i="14"/>
  <c r="I82" i="2"/>
  <c r="L28" i="14"/>
  <c r="I112" i="2"/>
  <c r="I72" i="2"/>
  <c r="K27" i="14"/>
  <c r="M27" i="14"/>
  <c r="H29" i="2"/>
  <c r="L27" i="14"/>
  <c r="I49" i="2"/>
  <c r="D25" i="14"/>
  <c r="D29" i="14"/>
  <c r="H27" i="14"/>
  <c r="J29" i="14"/>
  <c r="J30" i="14" s="1"/>
  <c r="J31" i="14" s="1"/>
  <c r="J82" i="2"/>
  <c r="K82" i="2" s="1"/>
  <c r="O27" i="14"/>
  <c r="K28" i="14"/>
  <c r="D18" i="2"/>
  <c r="M26" i="14"/>
  <c r="J35" i="2"/>
  <c r="K26" i="14"/>
  <c r="C25" i="14"/>
  <c r="I42" i="2"/>
  <c r="J42" i="2"/>
  <c r="H23" i="2"/>
  <c r="J23" i="2" s="1"/>
  <c r="G27" i="14"/>
  <c r="G30" i="14" s="1"/>
  <c r="G31" i="14" s="1"/>
  <c r="J27" i="14"/>
  <c r="M28" i="14"/>
  <c r="I29" i="2"/>
  <c r="I89" i="2"/>
  <c r="D27" i="14"/>
  <c r="F26" i="14"/>
  <c r="I27" i="14"/>
  <c r="I30" i="14" s="1"/>
  <c r="I31" i="14" s="1"/>
  <c r="N27" i="14"/>
  <c r="F27" i="14"/>
  <c r="N26" i="14"/>
  <c r="J29" i="2" l="1"/>
  <c r="F30" i="14"/>
  <c r="F31" i="14" s="1"/>
  <c r="C30" i="14"/>
  <c r="C31" i="14" s="1"/>
  <c r="D30" i="14"/>
  <c r="D31" i="14" s="1"/>
  <c r="F8" i="2"/>
  <c r="F15" i="2" s="1"/>
  <c r="K42" i="2"/>
  <c r="F7" i="2"/>
  <c r="F14" i="2" s="1"/>
  <c r="F9" i="2" l="1"/>
  <c r="F10" i="2" s="1"/>
  <c r="F16" i="2"/>
  <c r="F17" i="2" s="1"/>
</calcChain>
</file>

<file path=xl/comments1.xml><?xml version="1.0" encoding="utf-8"?>
<comments xmlns="http://schemas.openxmlformats.org/spreadsheetml/2006/main">
  <authors>
    <author>Will Harman</author>
  </authors>
  <commentList>
    <comment ref="B3" authorId="0" shapeId="0">
      <text>
        <r>
          <rPr>
            <sz val="9"/>
            <color indexed="81"/>
            <rFont val="Tahoma"/>
            <family val="2"/>
          </rPr>
          <t xml:space="preserve">Type entry into gray cells.
</t>
        </r>
      </text>
    </comment>
  </commentList>
</comments>
</file>

<file path=xl/sharedStrings.xml><?xml version="1.0" encoding="utf-8"?>
<sst xmlns="http://schemas.openxmlformats.org/spreadsheetml/2006/main" count="1907" uniqueCount="484">
  <si>
    <t>Bank Height Ratio (BHR)</t>
  </si>
  <si>
    <t>Functional Category</t>
  </si>
  <si>
    <t>Function-Based Parameters</t>
  </si>
  <si>
    <t>Measurement Method</t>
  </si>
  <si>
    <t>Field</t>
  </si>
  <si>
    <t>Index</t>
  </si>
  <si>
    <t>Hydraulics</t>
  </si>
  <si>
    <t>Floodplain Connectivity</t>
  </si>
  <si>
    <t>Bank Height Ratio</t>
  </si>
  <si>
    <t>Entrenchment Ratio</t>
  </si>
  <si>
    <t>C</t>
  </si>
  <si>
    <t>E</t>
  </si>
  <si>
    <t>B</t>
  </si>
  <si>
    <t>Bc</t>
  </si>
  <si>
    <t>Entrenchment Ratio (ER) C and E Streams</t>
  </si>
  <si>
    <t>Field Value</t>
  </si>
  <si>
    <t>Index Value</t>
  </si>
  <si>
    <t>Drainage Area (sqmi):</t>
  </si>
  <si>
    <t>Roll Up Scoring</t>
  </si>
  <si>
    <t>Parameter</t>
  </si>
  <si>
    <t>Category</t>
  </si>
  <si>
    <t>Overall</t>
  </si>
  <si>
    <t>A</t>
  </si>
  <si>
    <t>Sand</t>
  </si>
  <si>
    <t>Gravel</t>
  </si>
  <si>
    <t>LWD Index</t>
  </si>
  <si>
    <t>Perennial</t>
  </si>
  <si>
    <t>Geomorphology</t>
  </si>
  <si>
    <t>Large Woody Debris</t>
  </si>
  <si>
    <t>Ephemeral</t>
  </si>
  <si>
    <t>L/VL</t>
  </si>
  <si>
    <t>L/L</t>
  </si>
  <si>
    <t>L/M</t>
  </si>
  <si>
    <t>L/H</t>
  </si>
  <si>
    <t>L/VH</t>
  </si>
  <si>
    <t>M/VL</t>
  </si>
  <si>
    <t>M/L</t>
  </si>
  <si>
    <t>M/M</t>
  </si>
  <si>
    <t>M/H</t>
  </si>
  <si>
    <t>L/Ex</t>
  </si>
  <si>
    <t>H/L</t>
  </si>
  <si>
    <t>H/M</t>
  </si>
  <si>
    <t>H/H</t>
  </si>
  <si>
    <t>VH/VL</t>
  </si>
  <si>
    <t>Ex/VL</t>
  </si>
  <si>
    <t>H/Ex</t>
  </si>
  <si>
    <t>Ex/M</t>
  </si>
  <si>
    <t>Ex/H</t>
  </si>
  <si>
    <t>Ex/VH</t>
  </si>
  <si>
    <t>VH/VH</t>
  </si>
  <si>
    <t>Ex/Ex</t>
  </si>
  <si>
    <t>Lateral Stability</t>
  </si>
  <si>
    <t>Dominant BEHI/NBS</t>
  </si>
  <si>
    <t>Riparian Vegetation</t>
  </si>
  <si>
    <t>Bed Form Diversity</t>
  </si>
  <si>
    <t>Pool Spacing Ratio</t>
  </si>
  <si>
    <t>Pool Depth Ratio</t>
  </si>
  <si>
    <t>Sinuosity</t>
  </si>
  <si>
    <t>Plan Form</t>
  </si>
  <si>
    <t>EXISTING CONDITION ASSESSMENT</t>
  </si>
  <si>
    <t>PROPOSED CONDITION ASSESSMENT</t>
  </si>
  <si>
    <t>Physicochemical</t>
  </si>
  <si>
    <t>Biology</t>
  </si>
  <si>
    <t>Functional Lift Score</t>
  </si>
  <si>
    <t>Level 3 - Geomorphology</t>
  </si>
  <si>
    <t>Level 4 - Physicochemical</t>
  </si>
  <si>
    <t>Level 5 - Biology</t>
  </si>
  <si>
    <t>Intermittent</t>
  </si>
  <si>
    <t>Hydrology</t>
  </si>
  <si>
    <t>Yes</t>
  </si>
  <si>
    <t>No</t>
  </si>
  <si>
    <t>FUNCTIONAL LIFT SUMMARY</t>
  </si>
  <si>
    <t>Notes</t>
  </si>
  <si>
    <t>1. Users input values that are highlighted based on restoration potential</t>
  </si>
  <si>
    <t>Functional Lift (%)</t>
  </si>
  <si>
    <t>Existing Parameter</t>
  </si>
  <si>
    <t>Proposed Parameter</t>
  </si>
  <si>
    <t xml:space="preserve">Rater(s): </t>
  </si>
  <si>
    <t xml:space="preserve">Date: </t>
  </si>
  <si>
    <t>Categories</t>
  </si>
  <si>
    <t>Mitigation</t>
  </si>
  <si>
    <t>TMDL</t>
  </si>
  <si>
    <t>Grant</t>
  </si>
  <si>
    <t>Other</t>
  </si>
  <si>
    <t>Programmatic Goals</t>
  </si>
  <si>
    <t>Select:</t>
  </si>
  <si>
    <t>Fish</t>
  </si>
  <si>
    <t>HYDRAULICS</t>
  </si>
  <si>
    <t>HYDROLOGY</t>
  </si>
  <si>
    <t>GEOMORPHOLOGY</t>
  </si>
  <si>
    <t>PHYSICOCHEMICAL</t>
  </si>
  <si>
    <t>BIOLOGY</t>
  </si>
  <si>
    <t>Erosion Rate (ft/yr)</t>
  </si>
  <si>
    <t>Nitrogen</t>
  </si>
  <si>
    <t>Phosphorus</t>
  </si>
  <si>
    <t xml:space="preserve">Overall Watershed Conditon       </t>
  </si>
  <si>
    <t>F</t>
  </si>
  <si>
    <t>G</t>
  </si>
  <si>
    <t>Proposed Bed Material:</t>
  </si>
  <si>
    <t>Catchment Hydrology</t>
  </si>
  <si>
    <t>Organism Recruitment (Biology)</t>
  </si>
  <si>
    <t>Agricultural Land Use (Physicochemical)</t>
  </si>
  <si>
    <t>Percent Streambank Erosion (%)</t>
  </si>
  <si>
    <t>Bacteria</t>
  </si>
  <si>
    <t>Gc</t>
  </si>
  <si>
    <t>Entrenchment Ratio (ER) A, B and Bc Streams</t>
  </si>
  <si>
    <t>M/Ex</t>
  </si>
  <si>
    <t>M/VH</t>
  </si>
  <si>
    <t>H/VL</t>
  </si>
  <si>
    <t>H/VH</t>
  </si>
  <si>
    <t>VH/L</t>
  </si>
  <si>
    <t>VH/M</t>
  </si>
  <si>
    <t>VH/H</t>
  </si>
  <si>
    <t>VH/Ex</t>
  </si>
  <si>
    <t>Ex/L</t>
  </si>
  <si>
    <t>Insert Aerial Photo of Project Reach</t>
  </si>
  <si>
    <t>Reach ID:</t>
  </si>
  <si>
    <t>Proposed FFS - Existing FFS</t>
  </si>
  <si>
    <t>Existing Stream Type:</t>
  </si>
  <si>
    <t>Canopy Coverage</t>
  </si>
  <si>
    <t>Left Canopy Coverage (%)</t>
  </si>
  <si>
    <t>Right Canopy Coverage (%)</t>
  </si>
  <si>
    <t>FUNCTIONAL CATEGORY REPORT CARD</t>
  </si>
  <si>
    <t xml:space="preserve">Functional Category  </t>
  </si>
  <si>
    <t>ECS</t>
  </si>
  <si>
    <t>PCS</t>
  </si>
  <si>
    <t>Functional Lift</t>
  </si>
  <si>
    <t>Bed Material</t>
  </si>
  <si>
    <t>Left Basal Area (sq.ft/acre)</t>
  </si>
  <si>
    <t>Right Basal Area (sq.ft/acre)</t>
  </si>
  <si>
    <t>Bed Material Characterization</t>
  </si>
  <si>
    <t>Project Name:</t>
  </si>
  <si>
    <t>Percent Condition Lift</t>
  </si>
  <si>
    <t>a</t>
  </si>
  <si>
    <t>b</t>
  </si>
  <si>
    <t>NF</t>
  </si>
  <si>
    <t>c</t>
  </si>
  <si>
    <t>d</t>
  </si>
  <si>
    <t>NF &amp; FAR</t>
  </si>
  <si>
    <t>Exisiting Condition Score (ECS)</t>
  </si>
  <si>
    <t>Proposed Condition Score (PCS)</t>
  </si>
  <si>
    <t>Existing Stream Functional Foot Score (FFS)</t>
  </si>
  <si>
    <t>Proposed Stream Functional Foot Score (FFS)</t>
  </si>
  <si>
    <t>FUNCTION BASED PARAMETERS SUMMARY</t>
  </si>
  <si>
    <t>Data Collection Season:</t>
  </si>
  <si>
    <t>Poor</t>
  </si>
  <si>
    <t>Fair</t>
  </si>
  <si>
    <t>Good</t>
  </si>
  <si>
    <t>Rating (P/F/G)</t>
  </si>
  <si>
    <t>P</t>
  </si>
  <si>
    <t>FAR&amp; NF</t>
  </si>
  <si>
    <t xml:space="preserve">This sheet provides the formulas used to calculate index values from the field values entered on the Quantification Tool worksheet.  Formulas are fit to known delineations between Functioning, Functioning-At-Risk and Not Functioning. </t>
  </si>
  <si>
    <t>Formulas are of the form: Y = aX + b, OR Y = aX^2 + bX + c, OR Y = aX^3 + bX^2 + cX + d where Y is the index value and X is the field value.</t>
  </si>
  <si>
    <t xml:space="preserve">This sheet is locked to prevent editing. If you have suggested changes based on watershed-specific data, please contact your local permitting agency or client. </t>
  </si>
  <si>
    <t>Reach Runoff</t>
  </si>
  <si>
    <t>Concentrated Flow Points</t>
  </si>
  <si>
    <t>Soil Compaction</t>
  </si>
  <si>
    <t>Sandy</t>
  </si>
  <si>
    <t xml:space="preserve">Silty </t>
  </si>
  <si>
    <t>Clayey</t>
  </si>
  <si>
    <t>Silty</t>
  </si>
  <si>
    <t>Riparian Soil Texture:</t>
  </si>
  <si>
    <t xml:space="preserve">Less than 10% </t>
  </si>
  <si>
    <t>Version Last Updated</t>
  </si>
  <si>
    <t>Basal Area (sq.ft/ac)</t>
  </si>
  <si>
    <t>Left Stem Density (stems/acre)</t>
  </si>
  <si>
    <t>Right Stem Density (stems/acre)</t>
  </si>
  <si>
    <t>Riparian Vegetation Stem Density</t>
  </si>
  <si>
    <t>Size Class Pebble Count Analyzer (p-value)</t>
  </si>
  <si>
    <t xml:space="preserve">As-Built </t>
  </si>
  <si>
    <t>As-Built</t>
  </si>
  <si>
    <t>Overall Score</t>
  </si>
  <si>
    <t>Functional Feet</t>
  </si>
  <si>
    <t>Monitoring Year</t>
  </si>
  <si>
    <t>Last Monitoring Year</t>
  </si>
  <si>
    <t>3. Leave values blank for field values that were not measured</t>
  </si>
  <si>
    <t>2. Users select values from a pull-down menu</t>
  </si>
  <si>
    <t>Existing and Proposed Stream Types</t>
  </si>
  <si>
    <t>Proposed Bed Material</t>
  </si>
  <si>
    <t>Flow Type</t>
  </si>
  <si>
    <t>BEHI/NBS Scores</t>
  </si>
  <si>
    <t>Restoration Potential</t>
  </si>
  <si>
    <t>Bioregion</t>
  </si>
  <si>
    <t>Yes/No</t>
  </si>
  <si>
    <t>Overall Watershed Condition</t>
  </si>
  <si>
    <t>Data Collection Season</t>
  </si>
  <si>
    <t>Riparian Soil Texture</t>
  </si>
  <si>
    <t>65abei</t>
  </si>
  <si>
    <t>65j</t>
  </si>
  <si>
    <t>68a</t>
  </si>
  <si>
    <t>68b</t>
  </si>
  <si>
    <t>69de</t>
  </si>
  <si>
    <t>71e</t>
  </si>
  <si>
    <t>71i</t>
  </si>
  <si>
    <t>73ab</t>
  </si>
  <si>
    <t>74a</t>
  </si>
  <si>
    <t>74b</t>
  </si>
  <si>
    <t>January - June</t>
  </si>
  <si>
    <t>July - December</t>
  </si>
  <si>
    <t xml:space="preserve">TMI </t>
  </si>
  <si>
    <t>Bioregion 73a or 73b</t>
  </si>
  <si>
    <t>All other Bioregions</t>
  </si>
  <si>
    <t>Stormwater Infiltration</t>
  </si>
  <si>
    <t>65abei, 65j, 66deik, 66fgj, 68a, 69de, 74b
67fghi, DA &lt;= 2 sq.mi.
68cd, Jan - June</t>
  </si>
  <si>
    <t>67fghi, DA &gt; 2 sq.mi.
68cd, July - Dec
71fgh, DA &gt; 2 sq.mi.
73ab</t>
  </si>
  <si>
    <t>68b, DA &gt; 2sq.mi.
71e
71i, DA &gt; 2sq.mi.</t>
  </si>
  <si>
    <t>71fgh, DA &lt;= 2 sq.mi.
71i, DA &lt;= 2sq.mi.
74a, DA &gt; 2 sq.mi.</t>
  </si>
  <si>
    <t>Coefficients - Y = a * X^2 + b * X + C</t>
  </si>
  <si>
    <t>Bioregion 73a or 73b - TMI &lt; 22</t>
  </si>
  <si>
    <t>Bioregion 73a or 73b - TMI &gt;= 22</t>
  </si>
  <si>
    <t>All other Bioregions - TMI &lt; 32</t>
  </si>
  <si>
    <t>All other Bioregions - TMI &gt;= 32</t>
  </si>
  <si>
    <t>Coefficients - Y = a * X + b</t>
  </si>
  <si>
    <t>Percent Clingers - Plot 1</t>
  </si>
  <si>
    <t>74b, DA &lt;= 2 sq.mi.</t>
  </si>
  <si>
    <t>65abei, DA &lt;= 2 sq.mi.</t>
  </si>
  <si>
    <t>74a, Jan-June, DA &gt; 2 sq.mi.
71i, DA &gt; 2 sq.mi., SQBANK</t>
  </si>
  <si>
    <t>65abei and 74b, DA&gt; 2 sq.mi.</t>
  </si>
  <si>
    <t>68b, DA &gt; 2 sq.mi.</t>
  </si>
  <si>
    <t>Coefficients - Y = a * X^2 + b * X + c</t>
  </si>
  <si>
    <t>Percent Clingers - Plot 2</t>
  </si>
  <si>
    <t>71i, DA &lt;= 2 sq.mi.
68cd, Jan - June</t>
  </si>
  <si>
    <t>68cd, July - Dec
68a, Jan - June</t>
  </si>
  <si>
    <t>71i, DA &gt; 2 sq.mi., SQKICK
67fghi, DA &lt;= 2 sq.mi.
65j</t>
  </si>
  <si>
    <t>67fghi, DA &gt; 2sq.mi.
69de
74a, July-Dec, DA &gt; 2 sq.mi.</t>
  </si>
  <si>
    <t>66deik, 71e, 71fgh</t>
  </si>
  <si>
    <t>66fgj
68a, July - Dec</t>
  </si>
  <si>
    <t>Macro Collection Method:</t>
  </si>
  <si>
    <t>Macro Collection Method</t>
  </si>
  <si>
    <t>SQKICK</t>
  </si>
  <si>
    <t>SQBANK</t>
  </si>
  <si>
    <t>Percent EPT-Cheum - Plot 1</t>
  </si>
  <si>
    <t>74a, Jan-June, DA &gt; 2 sq.mi.</t>
  </si>
  <si>
    <t>71i, DA &gt; 2 sq.mi., SQBANK</t>
  </si>
  <si>
    <t>65abei and 74b, DA&gt; 2 sq.mi.
71i, DA &gt; 2 sq.mi., SQKICK</t>
  </si>
  <si>
    <t>65abei, DA &lt;= 2 sq.mi.
68cd, July - Dec
71e</t>
  </si>
  <si>
    <t>65j, 67fghi
71i, DA &lt;= 2 sq.mi.
74a, July-Dec, DA &gt; 2 sq.mi.</t>
  </si>
  <si>
    <t>68a
68b, DA &gt; 2 sq.mi.
71fgh, DA &gt; 2 sq.mi.</t>
  </si>
  <si>
    <t>66fgj
71fgh, DA &lt;= 2 sq.mi.</t>
  </si>
  <si>
    <t>66deik
68cd, Jan - June
69de, July - Dec</t>
  </si>
  <si>
    <t>69de, Jan - June</t>
  </si>
  <si>
    <t>Percent EPT-Cheum - Plot 2</t>
  </si>
  <si>
    <t>67fghi, 71e, 73ab
71fgh, DA &gt; 2 sq.mi.</t>
  </si>
  <si>
    <t>66deik, 66fgj, 68a, 68cd
69de, July - Dec
71i, DA &lt;= 2 sq.mi.
71i, DA &gt; 2sq.mi., SQBANK
74a, July - Dec, DA &gt; 2 sq.mi.</t>
  </si>
  <si>
    <t>69de, Jan - June
71i, DA &gt; 2 sq.mi., SQKICK</t>
  </si>
  <si>
    <t>65j
68b, DA &gt; 2 sq.mi.</t>
  </si>
  <si>
    <t>Percent OC - Plot 1</t>
  </si>
  <si>
    <t>Percent OC - Plot 2</t>
  </si>
  <si>
    <t>65abei, DA &lt;= 2 sq.mi.
71fgh, DA &lt;= 2 sq.mi.</t>
  </si>
  <si>
    <t>Site Information and 
Reference Standard Stratification</t>
  </si>
  <si>
    <t>FAR</t>
  </si>
  <si>
    <t>Proposed Stream Slope (%):</t>
  </si>
  <si>
    <t>Proposed Flow Type:</t>
  </si>
  <si>
    <t>Land Use CN Value</t>
  </si>
  <si>
    <t>Aggradation Ratio</t>
  </si>
  <si>
    <t>Native Fish Score Index</t>
  </si>
  <si>
    <t>E. Coli (cfu/100mL)</t>
  </si>
  <si>
    <t>Total Phosphorous</t>
  </si>
  <si>
    <t>Soil Bulk Density (Stratified by soil texture)</t>
  </si>
  <si>
    <t xml:space="preserve">66deg &gt; 2.5 </t>
  </si>
  <si>
    <t xml:space="preserve">68b &gt; 2.5 </t>
  </si>
  <si>
    <t xml:space="preserve">68ac &gt; 2.5 </t>
  </si>
  <si>
    <t xml:space="preserve">71fg &gt; 2.5 </t>
  </si>
  <si>
    <t xml:space="preserve">67fhi &gt; 2.5 </t>
  </si>
  <si>
    <t xml:space="preserve">65j &gt; 2.5 </t>
  </si>
  <si>
    <t xml:space="preserve">69de &gt; 2.5 </t>
  </si>
  <si>
    <t xml:space="preserve">71e &gt; 2.5 </t>
  </si>
  <si>
    <t xml:space="preserve">66f &gt; 2.5 </t>
  </si>
  <si>
    <t xml:space="preserve">67g &gt; 2.5 </t>
  </si>
  <si>
    <t xml:space="preserve">74b &gt; 2.5 </t>
  </si>
  <si>
    <t>Functioning 67g &amp; 74b</t>
  </si>
  <si>
    <t xml:space="preserve">71hi &gt; 2.5 </t>
  </si>
  <si>
    <t xml:space="preserve">73a &gt; 2.5 </t>
  </si>
  <si>
    <t xml:space="preserve">74a &gt; 2.5 </t>
  </si>
  <si>
    <t>Functioning</t>
  </si>
  <si>
    <t>66ik</t>
  </si>
  <si>
    <t>66g</t>
  </si>
  <si>
    <t>66j</t>
  </si>
  <si>
    <t>66f</t>
  </si>
  <si>
    <t>67g</t>
  </si>
  <si>
    <t>67fhi</t>
  </si>
  <si>
    <t>68d</t>
  </si>
  <si>
    <t>68c</t>
  </si>
  <si>
    <t>71h</t>
  </si>
  <si>
    <t>73b</t>
  </si>
  <si>
    <t>73a</t>
  </si>
  <si>
    <t xml:space="preserve">71fg &gt; 2.5, NF </t>
  </si>
  <si>
    <t xml:space="preserve">71fg &gt; 2.5, FAR </t>
  </si>
  <si>
    <t>66deg / DA &lt;= 2.5</t>
  </si>
  <si>
    <t>67fhi / DA &lt;= 2.5</t>
  </si>
  <si>
    <t xml:space="preserve">65abei &gt; 2.5 </t>
  </si>
  <si>
    <t>69de / DA &lt;= 2.5</t>
  </si>
  <si>
    <t>68ac / DA &lt;= 2.5</t>
  </si>
  <si>
    <t>71fg / DA &lt;= 2.5</t>
  </si>
  <si>
    <t>65abei / DA &lt;= 2.5</t>
  </si>
  <si>
    <t>68b / DA &lt;= 2.5</t>
  </si>
  <si>
    <t xml:space="preserve">69de, 68ac, 71fg </t>
  </si>
  <si>
    <t>71e / DA &lt;= 2.5</t>
  </si>
  <si>
    <t>67g / DA &lt;= 2.5</t>
  </si>
  <si>
    <t>65j / DA &lt;= 2.5</t>
  </si>
  <si>
    <t>66f / DA &lt;= 2.5</t>
  </si>
  <si>
    <t>71hi / DA &lt;= 2.5</t>
  </si>
  <si>
    <t>74b / DA &lt;= 2.5</t>
  </si>
  <si>
    <t>74a / DA &lt;= 2.5</t>
  </si>
  <si>
    <t>73a / DA &lt;= 2.5</t>
  </si>
  <si>
    <t xml:space="preserve">69de / DA &lt;=2.5 </t>
  </si>
  <si>
    <t xml:space="preserve">65abei / DA &lt;=2.5 </t>
  </si>
  <si>
    <t xml:space="preserve">65j / DA &lt;=2.5 </t>
  </si>
  <si>
    <t xml:space="preserve">68c / DA &lt;=2.5 </t>
  </si>
  <si>
    <t xml:space="preserve">68a / DA &lt;=2.5 </t>
  </si>
  <si>
    <t>Nitrate-Nitrite</t>
  </si>
  <si>
    <t xml:space="preserve">71f / DA &lt;=2.5 </t>
  </si>
  <si>
    <t xml:space="preserve">74a / DA &lt;=2.5 </t>
  </si>
  <si>
    <t xml:space="preserve">74a / DA &gt; 2.5 </t>
  </si>
  <si>
    <t xml:space="preserve">67fghi / DA &lt;=2.5 </t>
  </si>
  <si>
    <t xml:space="preserve">73a / DA &lt;=2.5 </t>
  </si>
  <si>
    <t xml:space="preserve">66d / DA &lt;=2.5 </t>
  </si>
  <si>
    <t xml:space="preserve">71ghi / DA &lt;=2.5 </t>
  </si>
  <si>
    <t xml:space="preserve">74b / DA &lt;=2.5 </t>
  </si>
  <si>
    <t xml:space="preserve">71e / DA &lt;=2.5 </t>
  </si>
  <si>
    <t>% Nutrient Tolerant Macros</t>
  </si>
  <si>
    <t>71f</t>
  </si>
  <si>
    <t>71g</t>
  </si>
  <si>
    <t>66d</t>
  </si>
  <si>
    <t>66e</t>
  </si>
  <si>
    <t>Total Phosphorus (mg/L)</t>
  </si>
  <si>
    <t>Nitrate-Nitrite (mg/L)</t>
  </si>
  <si>
    <t xml:space="preserve">73a / DA &gt; 2.5 </t>
  </si>
  <si>
    <t xml:space="preserve">68a / DA &gt; 2.5 </t>
  </si>
  <si>
    <t xml:space="preserve">69de / DA &gt; 2.5 </t>
  </si>
  <si>
    <t xml:space="preserve">71f / DA &gt; 2.5 </t>
  </si>
  <si>
    <t xml:space="preserve">65abei / DA &gt; 2.5 </t>
  </si>
  <si>
    <t xml:space="preserve">65j / DA &gt; 2.5 </t>
  </si>
  <si>
    <t xml:space="preserve">68c / DA &gt; 2.5 </t>
  </si>
  <si>
    <t xml:space="preserve">67fghi / DA &gt; 2.5 </t>
  </si>
  <si>
    <t xml:space="preserve">74b / DA &gt; 2.5 </t>
  </si>
  <si>
    <t xml:space="preserve">66d / DA &gt; 2.5 </t>
  </si>
  <si>
    <t xml:space="preserve">71ghi / DA &gt; 2.5 </t>
  </si>
  <si>
    <t xml:space="preserve">71e / DA &gt; 2.5 </t>
  </si>
  <si>
    <t xml:space="preserve">66efg </t>
  </si>
  <si>
    <t xml:space="preserve">68b </t>
  </si>
  <si>
    <t>66efg</t>
  </si>
  <si>
    <t>Pool Spacing Ratio for E4 Streams</t>
  </si>
  <si>
    <t>Pool Spacing Ratio for E5 Streams</t>
  </si>
  <si>
    <t>Rising Limb</t>
  </si>
  <si>
    <t>Falling Limb</t>
  </si>
  <si>
    <t>Watershed Assessment Form</t>
  </si>
  <si>
    <t>WATERSHED ASSESSMENT</t>
  </si>
  <si>
    <t>Description of Watershed Condition</t>
  </si>
  <si>
    <t>Impervious cover in Watershed (Hydrology)</t>
  </si>
  <si>
    <t xml:space="preserve">Greater than 20% </t>
  </si>
  <si>
    <t>Between 10% and 20%</t>
  </si>
  <si>
    <t xml:space="preserve"> Percent Land Use Change in Watershed  (Hydrology)</t>
  </si>
  <si>
    <t>Road Density in Watershed (Hydrology)</t>
  </si>
  <si>
    <t>Percent Forested (Catchment) (Hydrology)</t>
  </si>
  <si>
    <t>Large impoundment within catchment on main stem or tributaries directly tied to project and/or multiple small impoundments; these impoundments limit flow in tributaries and/or the main stem throughout catchment</t>
  </si>
  <si>
    <t>No impoundments within catchment on main stem; may have small impoundments that limit flow in tributaries and throughout catchment</t>
  </si>
  <si>
    <t xml:space="preserve">No impoundments in catchment area </t>
  </si>
  <si>
    <t>Catchment Forested Riparian Corridor (Geomorphology)</t>
  </si>
  <si>
    <t>&gt;60% of bottom substrate affected by recent deposition; significant amount of fine material accumulating in pools, bends, bars and benches</t>
  </si>
  <si>
    <t>30-60% of bottom substrate affected by recent deposition; fine material in pools, bends and some on bars and benches</t>
  </si>
  <si>
    <t>&lt; 30% of bottom substrate affected by recent deposition; small amount of deposition on bars and benches, little to no deposition in pools</t>
  </si>
  <si>
    <t>&gt; 30% of stream miles in catchment on 303(d) list</t>
  </si>
  <si>
    <t>&lt; 30% of stream miles in catchment on 303(d) list</t>
  </si>
  <si>
    <t>No streams within catchment on 303(d) list</t>
  </si>
  <si>
    <t>Livestock access to stream and/or intensive cropland adjacent to and/or immediately upstream of project reach.</t>
  </si>
  <si>
    <t>There is little to no agricultural land uses or livestock and cropland within catchment causes no impact to water quality or biology.</t>
  </si>
  <si>
    <t>Process Wastewater Outfalls in Watershed (Physicochemical)</t>
  </si>
  <si>
    <t>At least one major and several minor PWOs within one mile of project reach</t>
  </si>
  <si>
    <t>A few NPDES permits within drainage area and none OR a minor one within one mile of project reach</t>
  </si>
  <si>
    <t>No NPDES permits within drainage area and none within one mile of project reach</t>
  </si>
  <si>
    <t>Impoundment(s) located within 1 mile upstream or downstream of project area and/or has a negative effect on project watershed including fish passage</t>
  </si>
  <si>
    <t>No impoundment within watershed OR impoundment does not adversely affect watershed OR a small blockage exists that is creating a fish passage barrier</t>
  </si>
  <si>
    <t>No impoundment within watershed OR impoundment provides beneficial effect on project area and allows for fish passage</t>
  </si>
  <si>
    <t xml:space="preserve">Intact sources of desired taxa 1km to 5km upstream of project stream reach. </t>
  </si>
  <si>
    <t>Pool Spacing Ratio for C4 or C5 streams</t>
  </si>
  <si>
    <t xml:space="preserve">Pool Spacing Ratio for B4 and B4c streams </t>
  </si>
  <si>
    <t>Pool Depth Ratio for C4, C5, E4 and E5 Streams</t>
  </si>
  <si>
    <t xml:space="preserve">Pool Depth Ratio for B4 and B4c Streams </t>
  </si>
  <si>
    <t xml:space="preserve">Percent Riffle for E4 and E5 Streams </t>
  </si>
  <si>
    <t xml:space="preserve">Percent Riffle for B4 and B4c Streams </t>
  </si>
  <si>
    <t xml:space="preserve">Percent Riffle for C4 and C5 Streams </t>
  </si>
  <si>
    <t xml:space="preserve">Aggradation Ratio </t>
  </si>
  <si>
    <t>Sinuosity for Unconfined Alluvial Valleys</t>
  </si>
  <si>
    <t>Sinuosity for Confined Alluvial Valleys</t>
  </si>
  <si>
    <t>Sinuosity for Colluvial Valleys</t>
  </si>
  <si>
    <t>Valley Type:</t>
  </si>
  <si>
    <t>Valley Type</t>
  </si>
  <si>
    <t>Unconfined Alluvial</t>
  </si>
  <si>
    <t>Confined Alluvial</t>
  </si>
  <si>
    <t>Colluvial</t>
  </si>
  <si>
    <t>Soil Bulk Denisty (g/cm^3)</t>
  </si>
  <si>
    <t>Coefficients - Y = a * X^3 + b * X^2 + c * X + d</t>
  </si>
  <si>
    <t># LWD Pieces</t>
  </si>
  <si>
    <t># Pieces</t>
  </si>
  <si>
    <t>Date:</t>
  </si>
  <si>
    <t>The Tennessee Stream Quantification Tool Credits:</t>
  </si>
  <si>
    <t>Contributing Agencies:</t>
  </si>
  <si>
    <t>U.S. Environmental Protection Agency</t>
  </si>
  <si>
    <t>Contractors:</t>
  </si>
  <si>
    <t xml:space="preserve">Ecosystem Planning and Restoration (EPR) </t>
  </si>
  <si>
    <t xml:space="preserve">Stream Mechanics </t>
  </si>
  <si>
    <t>U.S. Army Corps of Engineers</t>
  </si>
  <si>
    <r>
      <rPr>
        <b/>
        <sz val="11"/>
        <color theme="1"/>
        <rFont val="Calibri"/>
        <family val="2"/>
        <scheme val="minor"/>
      </rPr>
      <t>Lead Agency:</t>
    </r>
    <r>
      <rPr>
        <sz val="11"/>
        <color theme="1"/>
        <rFont val="Calibri"/>
        <family val="2"/>
        <scheme val="minor"/>
      </rPr>
      <t xml:space="preserve"> Tennessee Department of Environment and Conservation (TDEC)</t>
    </r>
  </si>
  <si>
    <t>Sinuosity for E5 Streams in Unconfined Alluvial Valleys</t>
  </si>
  <si>
    <t>Catchment Impoundments (Hydrology) 
These include small dams, farm ponds, and large impoundments which are greater than 20 feet in height or structures with the capacity to have 30 acre feet in storage</t>
  </si>
  <si>
    <t xml:space="preserve">Impoundments and Fish Barriers (Biology) </t>
  </si>
  <si>
    <t>Less than 20%</t>
  </si>
  <si>
    <t xml:space="preserve"> Greater than 70%</t>
  </si>
  <si>
    <t>Between 20% and 70%</t>
  </si>
  <si>
    <t>Proposed Stream Type:</t>
  </si>
  <si>
    <t>Tennessee Interagency Review Team</t>
  </si>
  <si>
    <t>&lt;50% of streams (including tributaries) within catchment has &gt; 25 feet corridor width</t>
  </si>
  <si>
    <t>50-80% of  streams (including tributaries) within catchment has &gt; 25 feet corridor width</t>
  </si>
  <si>
    <t>&gt;80% of contributing streams (including tributaries) within catchment has &gt; 25 feet corridor width</t>
  </si>
  <si>
    <t>Livestock access to stream and/or intensive cropland upstream of project reach. A sufficient reach of stream is between agricultural land use and project reach.</t>
  </si>
  <si>
    <r>
      <t>Intact sources of desired taxa greater than 5km upstream of project stream reach.</t>
    </r>
    <r>
      <rPr>
        <strike/>
        <sz val="11"/>
        <color theme="1"/>
        <rFont val="Calibri"/>
        <family val="2"/>
        <scheme val="minor"/>
      </rPr>
      <t/>
    </r>
  </si>
  <si>
    <t xml:space="preserve">Intact sources of desired taxa within 1km upstream of project stream reach.  </t>
  </si>
  <si>
    <t xml:space="preserve">Fine Sediment Deposition  (Geomorphology) </t>
  </si>
  <si>
    <t>Tennessee Macroinvertebrate Index</t>
  </si>
  <si>
    <t>Catch per Unit Effort Score</t>
  </si>
  <si>
    <t>Land Use Curve Number Value</t>
  </si>
  <si>
    <t>Large Woody Debris Index</t>
  </si>
  <si>
    <t>Percent Riffle (%)</t>
  </si>
  <si>
    <t>Percent Clingers (%)</t>
  </si>
  <si>
    <t>Percent Oligochaeta and Chironomidae (%)</t>
  </si>
  <si>
    <t xml:space="preserve">Buffer Width </t>
  </si>
  <si>
    <t>E. Coli (Cfu/100 mL)</t>
  </si>
  <si>
    <t>Percent EPT - Cheumatopsyche (%)</t>
  </si>
  <si>
    <t>Soil Compaction (inches)</t>
  </si>
  <si>
    <t>Left Buffer Width (feet)</t>
  </si>
  <si>
    <t>Right Buffer Width (feet)</t>
  </si>
  <si>
    <t>Macroinvertebrates</t>
  </si>
  <si>
    <t>Existing Stream Length (feet):</t>
  </si>
  <si>
    <t>Proposed Stream Length (feet):</t>
  </si>
  <si>
    <t>Existing Stream Length (feet)</t>
  </si>
  <si>
    <t>Proposed Stream Length (feet)</t>
  </si>
  <si>
    <t>Additional Stream Length (feet)</t>
  </si>
  <si>
    <t xml:space="preserve">Rapidly urbanizing/urban 
Impervious cover in watershed increased by more than 5% in 5 years. </t>
  </si>
  <si>
    <t>Single family homes/suburban.
Impervious cover in watershed increased by less than 5% but more than 2.5% in 5 years.</t>
  </si>
  <si>
    <t>Rural communities/slow growth or primarily forested.
Impervious cover in watershed increased by less than 2.5% in 5 years.</t>
  </si>
  <si>
    <t>Streams within the Catchment Area Currently Assessed as Impaired (Physicochemical)</t>
  </si>
  <si>
    <t>Parameter Selection Guide</t>
  </si>
  <si>
    <t>restoration project. All parameters would rarely, if ever, be used for a single project. The scenarios below show when each parameter could be</t>
  </si>
  <si>
    <t>The following table is provided to assist project owners, regulators and practitioners in selecting the appropriate parameters for each stream</t>
  </si>
  <si>
    <r>
      <t>used. Note, if a parameter is selected, it must be assessed for every monitoring event along with the existing</t>
    </r>
    <r>
      <rPr>
        <i/>
        <sz val="11"/>
        <color theme="1"/>
        <rFont val="Calibri"/>
        <family val="2"/>
        <scheme val="minor"/>
      </rPr>
      <t xml:space="preserve"> </t>
    </r>
    <r>
      <rPr>
        <b/>
        <sz val="11"/>
        <color theme="1"/>
        <rFont val="Calibri"/>
        <family val="2"/>
        <scheme val="minor"/>
      </rPr>
      <t>and</t>
    </r>
    <r>
      <rPr>
        <sz val="11"/>
        <color theme="1"/>
        <rFont val="Calibri"/>
        <family val="2"/>
        <scheme val="minor"/>
      </rPr>
      <t xml:space="preserve"> proposed conditions.</t>
    </r>
  </si>
  <si>
    <t>Canopy Coverage (%)</t>
  </si>
  <si>
    <t>Basal Area (sq.ft/acre)</t>
  </si>
  <si>
    <t>Buffer Width (feet)</t>
  </si>
  <si>
    <t>Stem Density (stems/acre)</t>
  </si>
  <si>
    <t>Bedform Diversity</t>
  </si>
  <si>
    <t>Pool-Pool Spacing Ratio</t>
  </si>
  <si>
    <t>E. Coli  (Cfu/100 ml)</t>
  </si>
  <si>
    <t>Scenarios</t>
  </si>
  <si>
    <t xml:space="preserve">Projects with gravel beds and sandy banks where fining is occurring. </t>
  </si>
  <si>
    <t xml:space="preserve">Can be used instead of LWDI for rapid assessment methods. </t>
  </si>
  <si>
    <t xml:space="preserve">Measure in reaches exhibiting evidence of aggradation. </t>
  </si>
  <si>
    <t>Percent Nutrient Tolerant Macroinvertebrates (%)</t>
  </si>
  <si>
    <t>Only measurement method available for parameter.</t>
  </si>
  <si>
    <t xml:space="preserve">Recommended that one of these measurements is applied to all assessments, not both. </t>
  </si>
  <si>
    <t>Recommended for all assessments.</t>
  </si>
  <si>
    <t xml:space="preserve">Recommended that one of these measurements is applied to all assessments, not both.  </t>
  </si>
  <si>
    <t>Projects with livestock access and any proposed project with functional lift to water quality (physicochemical level 4).</t>
  </si>
  <si>
    <t>Project easements that include large portions of the catchment upstream of restoration activities.</t>
  </si>
  <si>
    <t>Recommended for all assessments with forested floodplain reference conditions.</t>
  </si>
  <si>
    <t xml:space="preserve">Projects with stormwater BMPs or other non-point source mitigation practices proposed in conjunction with the stream restoration project but the project is not expected to significantly improve the nitrogen and/or phosphorus parameters. </t>
  </si>
  <si>
    <t>This parameter should be assessed for any proposed project with functional lift to water quality (physicochemical level 4).</t>
  </si>
  <si>
    <t>Recommended to use both measurements with the parameter.</t>
  </si>
  <si>
    <t>This parameter should be assessed for any proposed project with functional lift to biology (level 5).</t>
  </si>
  <si>
    <t xml:space="preserve">This parameter should be assessed for proposed projects with functional lift to biology (level 5) that are within streams large enough to have a reference standard capable of supporting a level of species diversity adequate for the measurement methods. </t>
  </si>
  <si>
    <t xml:space="preserve">Applicants may choose to attempt functional lift by reporting either the TMI or the other three biometrics. </t>
  </si>
  <si>
    <t>Tennessee Macroinvertebrate Index (TMI)</t>
  </si>
  <si>
    <t>Large Woody Debris Index (LWDI)</t>
  </si>
  <si>
    <t xml:space="preserve">No roads in or adjacent to the lateral drainage area, some roads in catchment.  No more than one major road proposed in 10 year DOT plans. Road Density between 1.5 and 2.5 miles of road length per square mile of watershed drainage area.    </t>
  </si>
  <si>
    <t xml:space="preserve">Roads located in or adjacent to lateral drainage area and/or throughout catchment and/or major roads proposed in 10 year DOT plans. 
Road Density &gt; 2.5 miles of road length per square mile of watershed drainage area. </t>
  </si>
  <si>
    <t xml:space="preserve">No roads in or adjacent to the lateral drainage area or catchment.  No proposed roads in 10 year DOT plans. 
Road Density &lt; 1.5 miles of road length per square mile of watershed drainage area. </t>
  </si>
  <si>
    <t>Organic Enrichment</t>
  </si>
  <si>
    <t>Ecoregion:</t>
  </si>
  <si>
    <t>Bedrock</t>
  </si>
  <si>
    <t>Boulders</t>
  </si>
  <si>
    <t>Cobble</t>
  </si>
  <si>
    <t>Silt/Clay</t>
  </si>
  <si>
    <t>Purpose: This form is used to aid in the determination of the project's restoration potential. This form includes descriptions of watershed processes and stressors that exist outside of the project reach. The "watershed" is considered the catchment draining to the project area and the lateral drainage area containing the project reach. The catchment area is considered the area draining to the project's upper boundary. The lateral drainage area is considered the areas draining to the project from either side of the stream. Therefore, the watershed is equal to the catchment and the lateral drainage area.</t>
  </si>
  <si>
    <t>Version 0.99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</si>
</sst>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
    <numFmt numFmtId="166" formatCode="0.000"/>
    <numFmt numFmtId="167" formatCode="0.00000"/>
    <numFmt numFmtId="168" formatCode="0.000000"/>
  </numFmts>
  <fonts count="23" x14ac:knownFonts="1">
    <font>
      <sz val="11"/>
      <color theme="1"/>
      <name val="Calibri"/>
      <family val="2"/>
      <scheme val="minor"/>
    </font>
    <font>
      <b/>
      <sz val="11"/>
      <color theme="1"/>
      <name val="Calibri"/>
      <family val="2"/>
      <scheme val="minor"/>
    </font>
    <font>
      <sz val="9"/>
      <color indexed="81"/>
      <name val="Tahoma"/>
      <family val="2"/>
    </font>
    <font>
      <sz val="10"/>
      <name val="Arial"/>
      <family val="2"/>
    </font>
    <font>
      <b/>
      <sz val="14"/>
      <name val="Arial"/>
      <family val="2"/>
    </font>
    <font>
      <sz val="11"/>
      <name val="Arial"/>
      <family val="2"/>
    </font>
    <font>
      <b/>
      <sz val="12"/>
      <name val="Arial"/>
      <family val="2"/>
    </font>
    <font>
      <b/>
      <sz val="13"/>
      <color theme="1"/>
      <name val="Calibri"/>
      <family val="2"/>
      <scheme val="minor"/>
    </font>
    <font>
      <b/>
      <sz val="15"/>
      <color theme="1"/>
      <name val="Calibri"/>
      <family val="2"/>
      <scheme val="minor"/>
    </font>
    <font>
      <sz val="11"/>
      <name val="Calibri"/>
      <family val="2"/>
      <scheme val="minor"/>
    </font>
    <font>
      <b/>
      <sz val="14"/>
      <color theme="1"/>
      <name val="Calibri"/>
      <family val="2"/>
      <scheme val="minor"/>
    </font>
    <font>
      <b/>
      <sz val="16"/>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sz val="12"/>
      <color rgb="FF000000"/>
      <name val="Calibri"/>
      <family val="2"/>
      <scheme val="minor"/>
    </font>
    <font>
      <sz val="14"/>
      <color theme="1"/>
      <name val="Calibri"/>
      <family val="2"/>
      <scheme val="minor"/>
    </font>
    <font>
      <sz val="11"/>
      <color theme="1"/>
      <name val="Calibri"/>
      <family val="2"/>
      <scheme val="minor"/>
    </font>
    <font>
      <sz val="18"/>
      <color rgb="FFFF0000"/>
      <name val="Calibri"/>
      <family val="2"/>
      <scheme val="minor"/>
    </font>
    <font>
      <sz val="11"/>
      <name val="Arial"/>
      <family val="2"/>
    </font>
    <font>
      <sz val="10"/>
      <name val="Arial"/>
      <family val="2"/>
    </font>
    <font>
      <strike/>
      <sz val="11"/>
      <color theme="1"/>
      <name val="Calibri"/>
      <family val="2"/>
      <scheme val="minor"/>
    </font>
    <font>
      <i/>
      <sz val="11"/>
      <color theme="1"/>
      <name val="Calibri"/>
      <family val="2"/>
      <scheme val="minor"/>
    </font>
  </fonts>
  <fills count="19">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indexed="9"/>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4" tint="0.59999389629810485"/>
        <bgColor indexed="65"/>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top style="thick">
        <color indexed="64"/>
      </top>
      <bottom style="thin">
        <color indexed="64"/>
      </bottom>
      <diagonal/>
    </border>
    <border>
      <left/>
      <right style="thick">
        <color indexed="64"/>
      </right>
      <top style="thick">
        <color indexed="64"/>
      </top>
      <bottom/>
      <diagonal/>
    </border>
    <border>
      <left style="thick">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ck">
        <color indexed="64"/>
      </right>
      <top/>
      <bottom/>
      <diagonal/>
    </border>
    <border>
      <left style="thick">
        <color indexed="64"/>
      </left>
      <right/>
      <top/>
      <bottom/>
      <diagonal/>
    </border>
    <border>
      <left/>
      <right style="thick">
        <color indexed="64"/>
      </right>
      <top/>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bottom/>
      <diagonal/>
    </border>
    <border>
      <left/>
      <right style="medium">
        <color indexed="64"/>
      </right>
      <top/>
      <bottom/>
      <diagonal/>
    </border>
    <border>
      <left style="hair">
        <color indexed="64"/>
      </left>
      <right style="hair">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4">
    <xf numFmtId="0" fontId="0" fillId="0" borderId="0"/>
    <xf numFmtId="0" fontId="3" fillId="0" borderId="0"/>
    <xf numFmtId="9" fontId="17" fillId="0" borderId="0" applyFont="0" applyFill="0" applyBorder="0" applyAlignment="0" applyProtection="0"/>
    <xf numFmtId="0" fontId="17" fillId="15" borderId="0" applyNumberFormat="0" applyBorder="0" applyAlignment="0" applyProtection="0"/>
  </cellStyleXfs>
  <cellXfs count="623">
    <xf numFmtId="0" fontId="0" fillId="0" borderId="0" xfId="0"/>
    <xf numFmtId="0" fontId="0" fillId="0" borderId="0" xfId="0" applyFill="1" applyBorder="1"/>
    <xf numFmtId="0" fontId="0" fillId="0" borderId="0" xfId="0" applyFill="1" applyBorder="1" applyAlignment="1">
      <alignment vertical="center" wrapText="1"/>
    </xf>
    <xf numFmtId="0" fontId="1" fillId="0" borderId="0" xfId="0" applyFont="1" applyAlignment="1"/>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2" borderId="5" xfId="0" applyFill="1" applyBorder="1" applyAlignment="1">
      <alignment vertical="center" wrapText="1"/>
    </xf>
    <xf numFmtId="0" fontId="0" fillId="3" borderId="5" xfId="0" applyFill="1" applyBorder="1" applyAlignment="1">
      <alignment vertical="center" wrapText="1"/>
    </xf>
    <xf numFmtId="0" fontId="0" fillId="4" borderId="5" xfId="0" applyFill="1" applyBorder="1" applyAlignment="1">
      <alignment vertical="center" wrapText="1"/>
    </xf>
    <xf numFmtId="0" fontId="0" fillId="4" borderId="6" xfId="0" applyFill="1" applyBorder="1" applyAlignment="1">
      <alignment vertical="center" wrapText="1"/>
    </xf>
    <xf numFmtId="0" fontId="0" fillId="0" borderId="0" xfId="0" applyFill="1" applyAlignment="1">
      <alignment horizontal="center"/>
    </xf>
    <xf numFmtId="0" fontId="0" fillId="0" borderId="0" xfId="0" applyFill="1"/>
    <xf numFmtId="0" fontId="0" fillId="0" borderId="0" xfId="0"/>
    <xf numFmtId="0" fontId="1" fillId="0" borderId="0" xfId="0" applyFont="1"/>
    <xf numFmtId="0" fontId="0" fillId="0" borderId="0" xfId="0" applyAlignment="1">
      <alignment vertical="center"/>
    </xf>
    <xf numFmtId="0" fontId="0" fillId="0" borderId="0" xfId="0" applyFill="1" applyBorder="1" applyAlignment="1">
      <alignment vertical="center"/>
    </xf>
    <xf numFmtId="0" fontId="0" fillId="0" borderId="0" xfId="0" applyBorder="1" applyAlignment="1">
      <alignment horizontal="center"/>
    </xf>
    <xf numFmtId="2" fontId="0" fillId="0" borderId="0" xfId="0" applyNumberFormat="1"/>
    <xf numFmtId="0" fontId="0" fillId="0" borderId="2" xfId="0" applyFill="1" applyBorder="1" applyAlignment="1">
      <alignment vertical="center" wrapText="1"/>
    </xf>
    <xf numFmtId="0" fontId="0" fillId="0" borderId="0" xfId="0" applyBorder="1"/>
    <xf numFmtId="0" fontId="5" fillId="0" borderId="0" xfId="1" applyFont="1"/>
    <xf numFmtId="0" fontId="5" fillId="5" borderId="0" xfId="1" applyFont="1" applyFill="1" applyBorder="1" applyAlignment="1">
      <alignment horizontal="left" vertical="center"/>
    </xf>
    <xf numFmtId="0" fontId="5" fillId="0" borderId="0" xfId="1" applyFont="1" applyAlignment="1">
      <alignment horizontal="left"/>
    </xf>
    <xf numFmtId="0" fontId="6" fillId="7" borderId="20" xfId="1" applyFont="1" applyFill="1" applyBorder="1" applyAlignment="1">
      <alignment vertical="center" wrapText="1"/>
    </xf>
    <xf numFmtId="0" fontId="6" fillId="7" borderId="23" xfId="1" applyFont="1" applyFill="1" applyBorder="1" applyAlignment="1">
      <alignment vertical="center" wrapText="1"/>
    </xf>
    <xf numFmtId="0" fontId="5" fillId="7" borderId="30" xfId="1" applyFont="1" applyFill="1" applyBorder="1" applyAlignment="1">
      <alignment vertical="center"/>
    </xf>
    <xf numFmtId="0" fontId="7" fillId="0" borderId="0" xfId="0" applyFont="1"/>
    <xf numFmtId="0" fontId="3" fillId="0" borderId="0" xfId="1" applyFont="1"/>
    <xf numFmtId="0" fontId="3" fillId="7" borderId="24" xfId="1" applyFont="1" applyFill="1" applyBorder="1"/>
    <xf numFmtId="0" fontId="3" fillId="7" borderId="25" xfId="1" applyFont="1" applyFill="1" applyBorder="1"/>
    <xf numFmtId="0" fontId="3" fillId="0" borderId="26" xfId="1" applyFont="1" applyBorder="1" applyAlignment="1">
      <alignment horizontal="center" vertical="center" wrapText="1"/>
    </xf>
    <xf numFmtId="0" fontId="3" fillId="0" borderId="27"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0" xfId="1" applyFont="1" applyFill="1"/>
    <xf numFmtId="0" fontId="3" fillId="7" borderId="29" xfId="1" applyFont="1" applyFill="1" applyBorder="1"/>
    <xf numFmtId="0" fontId="3" fillId="7" borderId="30" xfId="1" applyFont="1" applyFill="1" applyBorder="1"/>
    <xf numFmtId="0" fontId="3" fillId="7" borderId="31" xfId="1" applyFont="1" applyFill="1" applyBorder="1"/>
    <xf numFmtId="14" fontId="5" fillId="5" borderId="0" xfId="1" applyNumberFormat="1" applyFont="1" applyFill="1" applyBorder="1" applyAlignment="1">
      <alignment horizontal="left" vertical="center"/>
    </xf>
    <xf numFmtId="0" fontId="6" fillId="7" borderId="8" xfId="1" applyFont="1" applyFill="1" applyBorder="1" applyAlignment="1">
      <alignment horizontal="center" vertical="center" wrapText="1"/>
    </xf>
    <xf numFmtId="0" fontId="3" fillId="0" borderId="26" xfId="1" applyFont="1" applyFill="1" applyBorder="1" applyAlignment="1">
      <alignment vertical="center" wrapText="1"/>
    </xf>
    <xf numFmtId="0" fontId="3" fillId="0" borderId="34" xfId="1" applyFont="1" applyBorder="1" applyAlignment="1">
      <alignment horizontal="center" vertical="center" wrapText="1"/>
    </xf>
    <xf numFmtId="0" fontId="3" fillId="0" borderId="35" xfId="1" applyFont="1" applyFill="1" applyBorder="1" applyAlignment="1">
      <alignment horizontal="center" vertical="center" wrapText="1"/>
    </xf>
    <xf numFmtId="0" fontId="3" fillId="0" borderId="36" xfId="1" applyFont="1" applyBorder="1" applyAlignment="1">
      <alignment horizontal="center" vertical="center" wrapText="1"/>
    </xf>
    <xf numFmtId="0" fontId="1" fillId="0" borderId="0" xfId="0" applyFont="1" applyBorder="1" applyAlignment="1"/>
    <xf numFmtId="0" fontId="0" fillId="0" borderId="0" xfId="0" applyBorder="1" applyAlignment="1">
      <alignment vertical="center" wrapText="1"/>
    </xf>
    <xf numFmtId="0" fontId="0" fillId="0" borderId="43" xfId="0" applyBorder="1" applyAlignment="1">
      <alignment vertical="center" wrapText="1"/>
    </xf>
    <xf numFmtId="0" fontId="9" fillId="0" borderId="2" xfId="0" applyFont="1" applyBorder="1" applyAlignment="1">
      <alignment vertical="center" wrapText="1"/>
    </xf>
    <xf numFmtId="0" fontId="0" fillId="0" borderId="0" xfId="0" applyFill="1" applyProtection="1"/>
    <xf numFmtId="0" fontId="0" fillId="0" borderId="0" xfId="0" applyProtection="1"/>
    <xf numFmtId="0" fontId="3" fillId="0" borderId="44" xfId="1" applyFont="1" applyBorder="1" applyAlignment="1">
      <alignment horizontal="center" vertical="center" wrapText="1"/>
    </xf>
    <xf numFmtId="0" fontId="12" fillId="0" borderId="7" xfId="0" applyFont="1" applyBorder="1"/>
    <xf numFmtId="0" fontId="12" fillId="7" borderId="7" xfId="0" applyFont="1" applyFill="1" applyBorder="1" applyAlignment="1" applyProtection="1">
      <alignment horizontal="center"/>
      <protection locked="0"/>
    </xf>
    <xf numFmtId="0" fontId="12" fillId="0" borderId="7" xfId="0" applyFont="1" applyFill="1" applyBorder="1"/>
    <xf numFmtId="2" fontId="12" fillId="0" borderId="7" xfId="0" applyNumberFormat="1" applyFont="1" applyBorder="1" applyAlignment="1" applyProtection="1">
      <alignment horizontal="center" vertical="center"/>
    </xf>
    <xf numFmtId="0" fontId="12" fillId="0" borderId="7" xfId="0" applyFont="1" applyBorder="1" applyAlignment="1" applyProtection="1">
      <alignment horizontal="center"/>
    </xf>
    <xf numFmtId="1" fontId="12" fillId="0" borderId="7" xfId="0" applyNumberFormat="1" applyFont="1" applyBorder="1" applyAlignment="1" applyProtection="1">
      <alignment horizontal="center"/>
    </xf>
    <xf numFmtId="2" fontId="12" fillId="0" borderId="7" xfId="0" applyNumberFormat="1" applyFont="1" applyBorder="1" applyAlignment="1">
      <alignment horizontal="center"/>
    </xf>
    <xf numFmtId="0" fontId="13" fillId="0" borderId="7" xfId="0" applyFont="1" applyBorder="1" applyAlignment="1">
      <alignment horizontal="center"/>
    </xf>
    <xf numFmtId="0" fontId="13" fillId="0" borderId="7" xfId="0" applyFont="1" applyFill="1" applyBorder="1" applyAlignment="1">
      <alignment horizontal="center"/>
    </xf>
    <xf numFmtId="0" fontId="12" fillId="8" borderId="8" xfId="0" applyFont="1" applyFill="1" applyBorder="1" applyAlignment="1">
      <alignment horizontal="left" vertical="center"/>
    </xf>
    <xf numFmtId="0" fontId="12" fillId="8" borderId="0" xfId="0" applyFont="1" applyFill="1" applyBorder="1"/>
    <xf numFmtId="0" fontId="12" fillId="8" borderId="0" xfId="0" applyFont="1" applyFill="1" applyBorder="1" applyAlignment="1">
      <alignment horizontal="center"/>
    </xf>
    <xf numFmtId="0" fontId="12" fillId="8" borderId="37" xfId="0" applyFont="1" applyFill="1" applyBorder="1"/>
    <xf numFmtId="0" fontId="12" fillId="7" borderId="37" xfId="0" applyFont="1" applyFill="1" applyBorder="1" applyAlignment="1" applyProtection="1">
      <alignment horizontal="center"/>
      <protection locked="0"/>
    </xf>
    <xf numFmtId="0" fontId="12" fillId="9" borderId="0" xfId="0" applyFont="1" applyFill="1" applyBorder="1"/>
    <xf numFmtId="0" fontId="12" fillId="9" borderId="0" xfId="0" applyFont="1" applyFill="1" applyBorder="1" applyAlignment="1">
      <alignment horizontal="center"/>
    </xf>
    <xf numFmtId="0" fontId="12" fillId="9" borderId="37" xfId="0" applyFont="1" applyFill="1" applyBorder="1"/>
    <xf numFmtId="0" fontId="12" fillId="10" borderId="7" xfId="0" applyFont="1" applyFill="1" applyBorder="1" applyAlignment="1">
      <alignment horizontal="left" vertical="center"/>
    </xf>
    <xf numFmtId="0" fontId="12" fillId="10" borderId="11" xfId="0" applyFont="1" applyFill="1" applyBorder="1"/>
    <xf numFmtId="0" fontId="12" fillId="10" borderId="0" xfId="0" applyFont="1" applyFill="1" applyBorder="1"/>
    <xf numFmtId="0" fontId="12" fillId="10" borderId="0" xfId="0" applyFont="1" applyFill="1" applyBorder="1" applyAlignment="1">
      <alignment horizontal="center"/>
    </xf>
    <xf numFmtId="0" fontId="14" fillId="10" borderId="0" xfId="0" applyFont="1" applyFill="1" applyBorder="1"/>
    <xf numFmtId="0" fontId="12" fillId="10" borderId="22" xfId="0" applyFont="1" applyFill="1" applyBorder="1"/>
    <xf numFmtId="0" fontId="12" fillId="7" borderId="41" xfId="0" applyFont="1" applyFill="1" applyBorder="1" applyAlignment="1" applyProtection="1">
      <alignment horizontal="center"/>
      <protection locked="0"/>
    </xf>
    <xf numFmtId="0" fontId="12" fillId="10" borderId="32" xfId="0" applyFont="1" applyFill="1" applyBorder="1"/>
    <xf numFmtId="0" fontId="12" fillId="10" borderId="38" xfId="0" applyFont="1" applyFill="1" applyBorder="1"/>
    <xf numFmtId="0" fontId="12" fillId="10" borderId="41" xfId="0" applyFont="1" applyFill="1" applyBorder="1"/>
    <xf numFmtId="0" fontId="12" fillId="10" borderId="37" xfId="0" applyFont="1" applyFill="1" applyBorder="1"/>
    <xf numFmtId="0" fontId="12" fillId="10" borderId="37" xfId="0" applyFont="1" applyFill="1" applyBorder="1" applyAlignment="1">
      <alignment horizontal="center"/>
    </xf>
    <xf numFmtId="0" fontId="12" fillId="11" borderId="0" xfId="0" applyFont="1" applyFill="1" applyBorder="1"/>
    <xf numFmtId="0" fontId="12" fillId="11" borderId="0" xfId="0" applyFont="1" applyFill="1" applyBorder="1" applyAlignment="1">
      <alignment horizontal="center"/>
    </xf>
    <xf numFmtId="0" fontId="12" fillId="11" borderId="7" xfId="0" applyFont="1" applyFill="1" applyBorder="1" applyAlignment="1">
      <alignment horizontal="left" vertical="center"/>
    </xf>
    <xf numFmtId="0" fontId="12" fillId="11" borderId="11" xfId="0" applyFont="1" applyFill="1" applyBorder="1"/>
    <xf numFmtId="0" fontId="12" fillId="11" borderId="11" xfId="0" applyFont="1" applyFill="1" applyBorder="1" applyAlignment="1">
      <alignment horizontal="center"/>
    </xf>
    <xf numFmtId="0" fontId="12" fillId="11" borderId="9" xfId="0" applyFont="1" applyFill="1" applyBorder="1" applyAlignment="1">
      <alignment horizontal="left" vertical="center"/>
    </xf>
    <xf numFmtId="0" fontId="12" fillId="11" borderId="37" xfId="0" applyFont="1" applyFill="1" applyBorder="1"/>
    <xf numFmtId="0" fontId="12" fillId="12" borderId="37" xfId="0" applyFont="1" applyFill="1" applyBorder="1"/>
    <xf numFmtId="0" fontId="12" fillId="10" borderId="10" xfId="0" applyFont="1" applyFill="1" applyBorder="1"/>
    <xf numFmtId="0" fontId="12" fillId="10" borderId="41" xfId="0" applyFont="1" applyFill="1" applyBorder="1" applyAlignment="1">
      <alignment horizontal="center"/>
    </xf>
    <xf numFmtId="0" fontId="11" fillId="0" borderId="0" xfId="0" applyFont="1" applyFill="1"/>
    <xf numFmtId="0" fontId="0" fillId="0" borderId="0" xfId="0" applyFill="1" applyAlignment="1">
      <alignment vertical="center"/>
    </xf>
    <xf numFmtId="0" fontId="12" fillId="8" borderId="7" xfId="0" applyFont="1" applyFill="1" applyBorder="1" applyAlignment="1">
      <alignment horizontal="left"/>
    </xf>
    <xf numFmtId="0" fontId="12" fillId="9" borderId="7" xfId="0" applyFont="1" applyFill="1" applyBorder="1" applyAlignment="1">
      <alignment horizontal="left"/>
    </xf>
    <xf numFmtId="0" fontId="12" fillId="10" borderId="7" xfId="0" applyFont="1" applyFill="1" applyBorder="1" applyAlignment="1">
      <alignment horizontal="left"/>
    </xf>
    <xf numFmtId="0" fontId="12" fillId="12" borderId="7" xfId="0" applyFont="1" applyFill="1" applyBorder="1" applyAlignment="1">
      <alignment horizontal="left"/>
    </xf>
    <xf numFmtId="164" fontId="0" fillId="0" borderId="2" xfId="0" applyNumberFormat="1" applyBorder="1" applyAlignment="1">
      <alignment vertical="center" wrapText="1"/>
    </xf>
    <xf numFmtId="0" fontId="12" fillId="0" borderId="10" xfId="0" applyFont="1" applyBorder="1" applyAlignment="1" applyProtection="1">
      <alignment horizontal="left"/>
    </xf>
    <xf numFmtId="0" fontId="12" fillId="0" borderId="11" xfId="0" applyFont="1" applyBorder="1" applyAlignment="1" applyProtection="1">
      <alignment horizontal="left"/>
    </xf>
    <xf numFmtId="2" fontId="12" fillId="10" borderId="7" xfId="0" applyNumberFormat="1" applyFont="1" applyFill="1" applyBorder="1" applyAlignment="1">
      <alignment horizontal="center"/>
    </xf>
    <xf numFmtId="2" fontId="12" fillId="8" borderId="8" xfId="0" applyNumberFormat="1" applyFont="1" applyFill="1" applyBorder="1" applyAlignment="1">
      <alignment horizontal="center"/>
    </xf>
    <xf numFmtId="2" fontId="12" fillId="10" borderId="40" xfId="0" applyNumberFormat="1" applyFont="1" applyFill="1" applyBorder="1" applyAlignment="1">
      <alignment horizontal="center"/>
    </xf>
    <xf numFmtId="2" fontId="12" fillId="11" borderId="8" xfId="0" applyNumberFormat="1" applyFont="1" applyFill="1" applyBorder="1" applyAlignment="1">
      <alignment horizontal="center"/>
    </xf>
    <xf numFmtId="2" fontId="12" fillId="11" borderId="7" xfId="0" applyNumberFormat="1" applyFont="1" applyFill="1" applyBorder="1" applyAlignment="1">
      <alignment horizontal="center"/>
    </xf>
    <xf numFmtId="2" fontId="12" fillId="11" borderId="40" xfId="0" applyNumberFormat="1" applyFont="1" applyFill="1" applyBorder="1" applyAlignment="1">
      <alignment horizontal="center"/>
    </xf>
    <xf numFmtId="0" fontId="12" fillId="0" borderId="10" xfId="0" applyFont="1" applyBorder="1" applyAlignment="1" applyProtection="1"/>
    <xf numFmtId="0" fontId="12" fillId="0" borderId="11" xfId="0" applyFont="1" applyBorder="1" applyAlignment="1" applyProtection="1"/>
    <xf numFmtId="0" fontId="12" fillId="0" borderId="22" xfId="0" applyFont="1" applyBorder="1" applyAlignment="1" applyProtection="1"/>
    <xf numFmtId="0" fontId="12" fillId="0" borderId="41" xfId="0" applyFont="1" applyBorder="1" applyAlignment="1" applyProtection="1"/>
    <xf numFmtId="0" fontId="12" fillId="0" borderId="38" xfId="0" applyFont="1" applyBorder="1" applyAlignment="1" applyProtection="1"/>
    <xf numFmtId="0" fontId="12" fillId="0" borderId="37" xfId="0" applyFont="1" applyBorder="1" applyAlignment="1" applyProtection="1"/>
    <xf numFmtId="0" fontId="12" fillId="0" borderId="22" xfId="0" applyFont="1" applyBorder="1" applyAlignment="1" applyProtection="1">
      <alignment horizontal="left"/>
    </xf>
    <xf numFmtId="0" fontId="12" fillId="0" borderId="41" xfId="0" applyFont="1" applyBorder="1" applyAlignment="1" applyProtection="1">
      <alignment horizontal="left"/>
    </xf>
    <xf numFmtId="0" fontId="12" fillId="0" borderId="11" xfId="0" applyFont="1" applyBorder="1" applyAlignment="1"/>
    <xf numFmtId="9" fontId="12" fillId="0" borderId="7" xfId="2" applyFont="1" applyBorder="1" applyAlignment="1" applyProtection="1">
      <alignment horizontal="center" vertical="center"/>
    </xf>
    <xf numFmtId="0" fontId="0" fillId="0" borderId="0" xfId="0" applyAlignment="1"/>
    <xf numFmtId="1" fontId="0" fillId="0" borderId="2" xfId="0" applyNumberFormat="1" applyBorder="1" applyAlignment="1">
      <alignment vertical="center" wrapText="1"/>
    </xf>
    <xf numFmtId="0" fontId="0" fillId="0" borderId="0" xfId="0" applyAlignment="1">
      <alignment horizontal="center"/>
    </xf>
    <xf numFmtId="0" fontId="0" fillId="0" borderId="0" xfId="0" applyAlignment="1">
      <alignment horizontal="left"/>
    </xf>
    <xf numFmtId="165" fontId="0" fillId="0" borderId="2" xfId="0" applyNumberFormat="1" applyBorder="1"/>
    <xf numFmtId="0" fontId="0" fillId="0" borderId="0" xfId="0" applyFill="1" applyBorder="1" applyAlignment="1"/>
    <xf numFmtId="0" fontId="0" fillId="0" borderId="0" xfId="0" applyBorder="1" applyAlignment="1">
      <alignment vertical="center"/>
    </xf>
    <xf numFmtId="0" fontId="0" fillId="0" borderId="0" xfId="0" applyFill="1" applyBorder="1" applyAlignment="1">
      <alignment horizontal="center"/>
    </xf>
    <xf numFmtId="0" fontId="0" fillId="0" borderId="0" xfId="0" applyFont="1" applyFill="1"/>
    <xf numFmtId="0" fontId="0" fillId="0" borderId="0" xfId="0" applyFont="1" applyFill="1" applyAlignment="1">
      <alignment horizontal="center"/>
    </xf>
    <xf numFmtId="0" fontId="1" fillId="0" borderId="0" xfId="0" applyFont="1" applyFill="1"/>
    <xf numFmtId="0" fontId="0" fillId="0" borderId="0" xfId="0" applyFont="1" applyFill="1" applyAlignment="1">
      <alignment vertical="center"/>
    </xf>
    <xf numFmtId="0" fontId="0" fillId="0" borderId="0" xfId="0" applyFont="1" applyFill="1" applyBorder="1" applyAlignment="1">
      <alignment horizontal="center"/>
    </xf>
    <xf numFmtId="0" fontId="0" fillId="0" borderId="0" xfId="0" applyFill="1" applyAlignment="1">
      <alignment horizontal="center"/>
    </xf>
    <xf numFmtId="1" fontId="0" fillId="0" borderId="0" xfId="0" applyNumberFormat="1" applyBorder="1" applyAlignment="1">
      <alignment vertical="center" wrapText="1"/>
    </xf>
    <xf numFmtId="1" fontId="0" fillId="0" borderId="0" xfId="0" applyNumberFormat="1" applyBorder="1"/>
    <xf numFmtId="2" fontId="0" fillId="0" borderId="0" xfId="0" applyNumberFormat="1" applyBorder="1"/>
    <xf numFmtId="2" fontId="9" fillId="0" borderId="2" xfId="0" applyNumberFormat="1" applyFont="1" applyBorder="1" applyAlignment="1">
      <alignment vertical="center" wrapText="1"/>
    </xf>
    <xf numFmtId="0" fontId="0" fillId="0" borderId="0" xfId="0" applyFill="1" applyAlignment="1">
      <alignment horizontal="center"/>
    </xf>
    <xf numFmtId="2" fontId="12" fillId="0" borderId="7" xfId="2" applyNumberFormat="1" applyFont="1" applyBorder="1" applyAlignment="1">
      <alignment horizontal="center"/>
    </xf>
    <xf numFmtId="1" fontId="12" fillId="0" borderId="7" xfId="0" applyNumberFormat="1" applyFont="1" applyBorder="1" applyAlignment="1">
      <alignment horizontal="center"/>
    </xf>
    <xf numFmtId="0" fontId="11" fillId="0" borderId="0" xfId="0" applyFont="1" applyBorder="1" applyAlignment="1"/>
    <xf numFmtId="0" fontId="0" fillId="0" borderId="41" xfId="0" applyBorder="1" applyAlignment="1"/>
    <xf numFmtId="0" fontId="12" fillId="0" borderId="0" xfId="0" applyFont="1" applyBorder="1" applyAlignment="1" applyProtection="1">
      <alignment horizontal="left"/>
    </xf>
    <xf numFmtId="0" fontId="12" fillId="0" borderId="0" xfId="0" applyFont="1" applyBorder="1" applyAlignment="1" applyProtection="1"/>
    <xf numFmtId="0" fontId="12" fillId="0" borderId="0" xfId="0" applyFont="1" applyBorder="1" applyAlignment="1"/>
    <xf numFmtId="0" fontId="0" fillId="0" borderId="0" xfId="0" applyBorder="1" applyAlignment="1"/>
    <xf numFmtId="0" fontId="0" fillId="0" borderId="11" xfId="0" applyBorder="1"/>
    <xf numFmtId="9" fontId="12" fillId="0" borderId="7" xfId="2" applyFont="1" applyBorder="1" applyAlignment="1">
      <alignment horizontal="center"/>
    </xf>
    <xf numFmtId="0" fontId="12" fillId="0" borderId="10" xfId="0" applyFont="1" applyBorder="1"/>
    <xf numFmtId="0" fontId="11" fillId="0" borderId="0" xfId="0" applyFont="1" applyBorder="1" applyAlignment="1">
      <alignment horizontal="center" vertical="center"/>
    </xf>
    <xf numFmtId="0" fontId="13" fillId="0" borderId="0" xfId="0" applyFont="1" applyBorder="1" applyAlignment="1">
      <alignment horizontal="center" vertical="center" wrapText="1"/>
    </xf>
    <xf numFmtId="2" fontId="12" fillId="0" borderId="0" xfId="0" applyNumberFormat="1" applyFont="1" applyBorder="1" applyAlignment="1">
      <alignment horizontal="center"/>
    </xf>
    <xf numFmtId="2" fontId="0" fillId="0" borderId="2" xfId="0" applyNumberFormat="1" applyBorder="1" applyAlignment="1">
      <alignment vertical="center" wrapText="1"/>
    </xf>
    <xf numFmtId="2" fontId="0" fillId="0" borderId="3" xfId="0" applyNumberFormat="1" applyBorder="1" applyAlignment="1">
      <alignment vertical="center" wrapText="1"/>
    </xf>
    <xf numFmtId="0" fontId="0" fillId="0" borderId="0" xfId="0" applyAlignment="1">
      <alignment horizontal="center"/>
    </xf>
    <xf numFmtId="0" fontId="0" fillId="0" borderId="0" xfId="0" applyFill="1" applyAlignment="1">
      <alignment horizontal="center"/>
    </xf>
    <xf numFmtId="0" fontId="0" fillId="0" borderId="0" xfId="0" applyFill="1" applyAlignment="1">
      <alignment horizontal="center"/>
    </xf>
    <xf numFmtId="0" fontId="12" fillId="12" borderId="22" xfId="0" applyFont="1" applyFill="1" applyBorder="1"/>
    <xf numFmtId="0" fontId="12" fillId="12" borderId="41" xfId="0" applyFont="1" applyFill="1" applyBorder="1"/>
    <xf numFmtId="0" fontId="12" fillId="12" borderId="38" xfId="0" applyFont="1" applyFill="1" applyBorder="1"/>
    <xf numFmtId="0" fontId="0" fillId="0" borderId="0" xfId="0" applyFill="1" applyBorder="1" applyAlignment="1">
      <alignment horizontal="center"/>
    </xf>
    <xf numFmtId="0" fontId="0" fillId="0" borderId="0" xfId="0" applyAlignment="1">
      <alignment horizontal="center"/>
    </xf>
    <xf numFmtId="0" fontId="0" fillId="0" borderId="0" xfId="0" applyFill="1" applyAlignment="1">
      <alignment horizontal="center"/>
    </xf>
    <xf numFmtId="0" fontId="0" fillId="0" borderId="3" xfId="0" applyFill="1" applyBorder="1" applyAlignment="1">
      <alignment vertical="center" wrapText="1"/>
    </xf>
    <xf numFmtId="164" fontId="0" fillId="0" borderId="0" xfId="0" applyNumberFormat="1" applyFill="1" applyBorder="1" applyAlignment="1">
      <alignment vertical="center" wrapText="1"/>
    </xf>
    <xf numFmtId="0" fontId="0" fillId="0" borderId="2" xfId="0" applyBorder="1"/>
    <xf numFmtId="0" fontId="0" fillId="3" borderId="5" xfId="0" applyFill="1" applyBorder="1"/>
    <xf numFmtId="166" fontId="0" fillId="0" borderId="2" xfId="0" applyNumberFormat="1" applyBorder="1" applyAlignment="1">
      <alignment vertical="center" wrapText="1"/>
    </xf>
    <xf numFmtId="0" fontId="0" fillId="0" borderId="43" xfId="0" applyFill="1" applyBorder="1" applyAlignment="1">
      <alignment vertical="center" wrapText="1"/>
    </xf>
    <xf numFmtId="0" fontId="0" fillId="0" borderId="0" xfId="0" applyFill="1" applyAlignment="1"/>
    <xf numFmtId="0" fontId="12" fillId="7" borderId="8" xfId="0" applyFont="1" applyFill="1" applyBorder="1" applyAlignment="1" applyProtection="1">
      <alignment horizontal="center"/>
      <protection locked="0"/>
    </xf>
    <xf numFmtId="2" fontId="12" fillId="8" borderId="37" xfId="0" applyNumberFormat="1" applyFont="1" applyFill="1" applyBorder="1" applyAlignment="1">
      <alignment horizontal="center"/>
    </xf>
    <xf numFmtId="0" fontId="12" fillId="8" borderId="41" xfId="0" applyFont="1" applyFill="1" applyBorder="1"/>
    <xf numFmtId="0" fontId="12" fillId="8" borderId="22" xfId="0" applyFont="1" applyFill="1" applyBorder="1"/>
    <xf numFmtId="0" fontId="12" fillId="8" borderId="32" xfId="0" applyFont="1" applyFill="1" applyBorder="1"/>
    <xf numFmtId="0" fontId="12" fillId="8" borderId="38" xfId="0" applyFont="1" applyFill="1" applyBorder="1"/>
    <xf numFmtId="0" fontId="12" fillId="8" borderId="41" xfId="0" applyFont="1" applyFill="1" applyBorder="1" applyAlignment="1">
      <alignment horizontal="center"/>
    </xf>
    <xf numFmtId="0" fontId="0" fillId="0" borderId="1" xfId="3" applyFont="1" applyFill="1" applyBorder="1" applyAlignment="1">
      <alignment horizontal="center" vertical="center"/>
    </xf>
    <xf numFmtId="0" fontId="0" fillId="0" borderId="42" xfId="3" applyFont="1" applyFill="1" applyBorder="1" applyAlignment="1">
      <alignment horizontal="center" vertical="center"/>
    </xf>
    <xf numFmtId="0" fontId="13" fillId="0" borderId="7" xfId="0" applyFont="1" applyBorder="1" applyAlignment="1">
      <alignment horizontal="center"/>
    </xf>
    <xf numFmtId="0" fontId="12" fillId="0" borderId="0" xfId="0" applyFont="1" applyFill="1" applyBorder="1"/>
    <xf numFmtId="0" fontId="12" fillId="0" borderId="0" xfId="0" applyFont="1" applyFill="1" applyBorder="1" applyAlignment="1">
      <alignment vertical="center"/>
    </xf>
    <xf numFmtId="0" fontId="12" fillId="0" borderId="0" xfId="0" applyFont="1" applyFill="1" applyBorder="1" applyAlignment="1">
      <alignment horizontal="left" vertical="center"/>
    </xf>
    <xf numFmtId="0" fontId="10" fillId="0" borderId="0" xfId="0" applyFont="1" applyBorder="1" applyAlignment="1">
      <alignment vertical="center"/>
    </xf>
    <xf numFmtId="0" fontId="13" fillId="0" borderId="7" xfId="0" applyFont="1" applyBorder="1" applyAlignment="1">
      <alignment horizontal="center"/>
    </xf>
    <xf numFmtId="2" fontId="10" fillId="0" borderId="7" xfId="0" applyNumberFormat="1" applyFont="1" applyBorder="1" applyAlignment="1">
      <alignment horizontal="center"/>
    </xf>
    <xf numFmtId="0" fontId="16" fillId="0" borderId="0" xfId="0" applyFont="1"/>
    <xf numFmtId="164" fontId="0" fillId="0" borderId="2" xfId="0" applyNumberFormat="1" applyFill="1" applyBorder="1" applyAlignment="1">
      <alignment vertical="center" wrapText="1"/>
    </xf>
    <xf numFmtId="0" fontId="10" fillId="0" borderId="7" xfId="0" applyFont="1" applyBorder="1" applyAlignment="1">
      <alignment horizontal="center" vertical="center"/>
    </xf>
    <xf numFmtId="2" fontId="16" fillId="0" borderId="7" xfId="0" applyNumberFormat="1" applyFont="1" applyBorder="1" applyAlignment="1">
      <alignment horizontal="center" vertical="center"/>
    </xf>
    <xf numFmtId="0" fontId="10" fillId="0" borderId="7" xfId="0" applyFont="1" applyBorder="1" applyAlignment="1">
      <alignment horizontal="center"/>
    </xf>
    <xf numFmtId="0" fontId="11" fillId="0" borderId="10" xfId="0" applyFont="1" applyBorder="1" applyAlignment="1"/>
    <xf numFmtId="2" fontId="12" fillId="16" borderId="7" xfId="0" applyNumberFormat="1" applyFont="1" applyFill="1" applyBorder="1" applyAlignment="1">
      <alignment horizontal="center"/>
    </xf>
    <xf numFmtId="2" fontId="16" fillId="16" borderId="7" xfId="0" applyNumberFormat="1" applyFont="1" applyFill="1" applyBorder="1" applyAlignment="1">
      <alignment horizontal="center" vertical="center"/>
    </xf>
    <xf numFmtId="0" fontId="10" fillId="16" borderId="7" xfId="0" applyFont="1" applyFill="1" applyBorder="1" applyAlignment="1">
      <alignment horizontal="center"/>
    </xf>
    <xf numFmtId="0" fontId="10" fillId="16" borderId="7" xfId="0" applyFont="1" applyFill="1" applyBorder="1" applyAlignment="1">
      <alignment horizontal="center" vertical="center"/>
    </xf>
    <xf numFmtId="0" fontId="10" fillId="0" borderId="7" xfId="0" applyFont="1" applyBorder="1" applyAlignment="1">
      <alignment horizontal="center" vertical="center"/>
    </xf>
    <xf numFmtId="0" fontId="0" fillId="0" borderId="0" xfId="0" applyAlignment="1">
      <alignment horizontal="center"/>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3" fillId="0" borderId="12" xfId="0" applyFont="1" applyBorder="1" applyAlignment="1">
      <alignment horizontal="center"/>
    </xf>
    <xf numFmtId="0" fontId="13" fillId="0" borderId="7" xfId="0" applyFont="1" applyBorder="1" applyAlignment="1">
      <alignment horizontal="center"/>
    </xf>
    <xf numFmtId="167" fontId="0" fillId="0" borderId="0" xfId="0" applyNumberFormat="1"/>
    <xf numFmtId="2" fontId="0" fillId="3" borderId="5" xfId="0" applyNumberFormat="1" applyFill="1" applyBorder="1" applyAlignment="1">
      <alignment vertical="center" wrapText="1"/>
    </xf>
    <xf numFmtId="0" fontId="12" fillId="17" borderId="7" xfId="0" applyFont="1" applyFill="1" applyBorder="1" applyAlignment="1" applyProtection="1">
      <alignment horizontal="center"/>
      <protection locked="0"/>
    </xf>
    <xf numFmtId="0" fontId="12" fillId="7" borderId="40" xfId="0" applyFont="1" applyFill="1" applyBorder="1" applyAlignment="1" applyProtection="1">
      <alignment horizontal="center"/>
      <protection locked="0"/>
    </xf>
    <xf numFmtId="0" fontId="12" fillId="7" borderId="9" xfId="0" applyFont="1" applyFill="1" applyBorder="1" applyAlignment="1" applyProtection="1">
      <alignment horizontal="center"/>
      <protection locked="0"/>
    </xf>
    <xf numFmtId="0" fontId="4" fillId="17" borderId="15" xfId="1" applyFont="1" applyFill="1" applyBorder="1" applyAlignment="1">
      <alignment horizontal="center" vertical="center" wrapText="1"/>
    </xf>
    <xf numFmtId="0" fontId="9" fillId="14" borderId="0" xfId="0" applyFont="1" applyFill="1"/>
    <xf numFmtId="2" fontId="12" fillId="11" borderId="7" xfId="0" applyNumberFormat="1" applyFont="1" applyFill="1" applyBorder="1" applyAlignment="1">
      <alignment horizontal="center" vertical="center"/>
    </xf>
    <xf numFmtId="0" fontId="0" fillId="0" borderId="0" xfId="0" applyFill="1" applyAlignment="1">
      <alignment horizontal="center"/>
    </xf>
    <xf numFmtId="0" fontId="12" fillId="7" borderId="32" xfId="0" applyFont="1" applyFill="1" applyBorder="1" applyAlignment="1" applyProtection="1">
      <alignment horizontal="center"/>
      <protection locked="0"/>
    </xf>
    <xf numFmtId="0" fontId="12" fillId="7" borderId="22" xfId="0" applyFont="1" applyFill="1" applyBorder="1" applyAlignment="1" applyProtection="1">
      <alignment horizontal="center"/>
      <protection locked="0"/>
    </xf>
    <xf numFmtId="0" fontId="12" fillId="7" borderId="38" xfId="0" applyFont="1" applyFill="1" applyBorder="1" applyAlignment="1" applyProtection="1">
      <alignment horizontal="center"/>
      <protection locked="0"/>
    </xf>
    <xf numFmtId="0" fontId="12" fillId="11" borderId="9" xfId="0" applyFont="1" applyFill="1" applyBorder="1" applyAlignment="1">
      <alignment horizontal="left" vertical="center"/>
    </xf>
    <xf numFmtId="0" fontId="0" fillId="0" borderId="0" xfId="0" applyFill="1" applyAlignment="1">
      <alignment horizontal="center"/>
    </xf>
    <xf numFmtId="1" fontId="0" fillId="0" borderId="3" xfId="0" applyNumberFormat="1" applyBorder="1" applyAlignment="1">
      <alignment vertical="center" wrapText="1"/>
    </xf>
    <xf numFmtId="1" fontId="0" fillId="0" borderId="0" xfId="0" applyNumberFormat="1" applyFont="1" applyBorder="1" applyAlignment="1">
      <alignment horizontal="right" vertical="center" wrapText="1"/>
    </xf>
    <xf numFmtId="1" fontId="0" fillId="0" borderId="43" xfId="0" applyNumberFormat="1" applyFont="1" applyBorder="1" applyAlignment="1">
      <alignment horizontal="right" vertical="center" wrapText="1"/>
    </xf>
    <xf numFmtId="1" fontId="0" fillId="0" borderId="43" xfId="0" applyNumberFormat="1" applyBorder="1" applyAlignment="1">
      <alignment vertical="center" wrapText="1"/>
    </xf>
    <xf numFmtId="0" fontId="12" fillId="12" borderId="32" xfId="0" applyFont="1" applyFill="1" applyBorder="1"/>
    <xf numFmtId="0" fontId="12" fillId="12" borderId="0" xfId="0" applyFont="1" applyFill="1" applyBorder="1"/>
    <xf numFmtId="0" fontId="12" fillId="12" borderId="8" xfId="0" applyFont="1" applyFill="1" applyBorder="1" applyAlignment="1">
      <alignment horizontal="center"/>
    </xf>
    <xf numFmtId="0" fontId="12" fillId="12" borderId="9" xfId="0" applyFont="1" applyFill="1" applyBorder="1" applyAlignment="1">
      <alignment horizontal="center"/>
    </xf>
    <xf numFmtId="0" fontId="12" fillId="12" borderId="40" xfId="0" applyFont="1" applyFill="1" applyBorder="1" applyAlignment="1">
      <alignment horizontal="center"/>
    </xf>
    <xf numFmtId="0" fontId="12" fillId="0" borderId="0" xfId="0" applyFont="1" applyBorder="1"/>
    <xf numFmtId="1" fontId="12" fillId="0" borderId="0" xfId="0" applyNumberFormat="1" applyFont="1" applyBorder="1" applyAlignment="1">
      <alignment horizontal="center"/>
    </xf>
    <xf numFmtId="0" fontId="12" fillId="0" borderId="0" xfId="0" applyFont="1" applyBorder="1" applyAlignment="1">
      <alignment horizontal="left"/>
    </xf>
    <xf numFmtId="9" fontId="12" fillId="0" borderId="0" xfId="2" applyFont="1" applyBorder="1" applyAlignment="1">
      <alignment horizontal="center"/>
    </xf>
    <xf numFmtId="165" fontId="0" fillId="0" borderId="0" xfId="0" applyNumberFormat="1" applyBorder="1"/>
    <xf numFmtId="0" fontId="12" fillId="0" borderId="40" xfId="0" applyFont="1" applyFill="1" applyBorder="1"/>
    <xf numFmtId="2" fontId="0" fillId="2" borderId="5" xfId="0" applyNumberFormat="1" applyFill="1" applyBorder="1" applyAlignment="1">
      <alignment vertical="center" wrapText="1"/>
    </xf>
    <xf numFmtId="2" fontId="0" fillId="3" borderId="6" xfId="0" applyNumberFormat="1" applyFill="1" applyBorder="1" applyAlignment="1">
      <alignment vertical="center" wrapText="1"/>
    </xf>
    <xf numFmtId="2" fontId="12" fillId="11" borderId="7" xfId="0" applyNumberFormat="1" applyFont="1" applyFill="1" applyBorder="1" applyAlignment="1">
      <alignment horizontal="center" vertical="center"/>
    </xf>
    <xf numFmtId="168" fontId="0" fillId="0" borderId="0" xfId="0" applyNumberFormat="1"/>
    <xf numFmtId="168" fontId="0" fillId="0" borderId="0" xfId="0" applyNumberFormat="1" applyFill="1"/>
    <xf numFmtId="0" fontId="0" fillId="0" borderId="0" xfId="0" applyAlignment="1">
      <alignment horizontal="center"/>
    </xf>
    <xf numFmtId="0" fontId="12" fillId="10" borderId="7" xfId="0" applyFont="1" applyFill="1" applyBorder="1" applyAlignment="1">
      <alignment horizontal="center"/>
    </xf>
    <xf numFmtId="0" fontId="12" fillId="10" borderId="9" xfId="0" applyFont="1" applyFill="1" applyBorder="1" applyAlignment="1">
      <alignment horizontal="left" vertical="center"/>
    </xf>
    <xf numFmtId="0" fontId="0" fillId="0" borderId="0" xfId="0" applyFont="1" applyAlignment="1">
      <alignment wrapText="1"/>
    </xf>
    <xf numFmtId="11" fontId="0" fillId="0" borderId="0" xfId="0" quotePrefix="1" applyNumberFormat="1" applyFont="1" applyAlignment="1">
      <alignment wrapText="1"/>
    </xf>
    <xf numFmtId="0" fontId="0" fillId="0" borderId="0" xfId="0" applyFont="1" applyFill="1" applyBorder="1"/>
    <xf numFmtId="0" fontId="0" fillId="0" borderId="41" xfId="0" applyBorder="1" applyAlignment="1">
      <alignment horizontal="center"/>
    </xf>
    <xf numFmtId="0" fontId="0" fillId="0" borderId="32" xfId="0" applyFill="1" applyBorder="1"/>
    <xf numFmtId="0" fontId="0" fillId="0" borderId="33" xfId="0" applyBorder="1"/>
    <xf numFmtId="0" fontId="0" fillId="0" borderId="38" xfId="0" applyFill="1" applyBorder="1"/>
    <xf numFmtId="0" fontId="0" fillId="0" borderId="37" xfId="0" applyFill="1" applyBorder="1"/>
    <xf numFmtId="0" fontId="0" fillId="0" borderId="39" xfId="0" applyFill="1" applyBorder="1"/>
    <xf numFmtId="0" fontId="0" fillId="0" borderId="41" xfId="0" applyBorder="1"/>
    <xf numFmtId="0" fontId="0" fillId="0" borderId="21" xfId="0" applyBorder="1"/>
    <xf numFmtId="0" fontId="0" fillId="0" borderId="39" xfId="0" applyBorder="1"/>
    <xf numFmtId="0" fontId="0" fillId="0" borderId="37" xfId="0" applyBorder="1" applyAlignment="1">
      <alignment vertical="center" wrapText="1"/>
    </xf>
    <xf numFmtId="0" fontId="0" fillId="0" borderId="38" xfId="0" applyBorder="1" applyAlignment="1">
      <alignment vertical="center" wrapText="1"/>
    </xf>
    <xf numFmtId="0" fontId="0" fillId="0" borderId="22" xfId="0" applyFill="1" applyBorder="1"/>
    <xf numFmtId="0" fontId="0" fillId="0" borderId="22" xfId="0" applyBorder="1" applyAlignment="1">
      <alignment horizontal="left"/>
    </xf>
    <xf numFmtId="0" fontId="0" fillId="0" borderId="38" xfId="0" applyBorder="1" applyAlignment="1">
      <alignment vertical="center"/>
    </xf>
    <xf numFmtId="0" fontId="0" fillId="0" borderId="37" xfId="0" applyBorder="1" applyAlignment="1">
      <alignment vertical="center"/>
    </xf>
    <xf numFmtId="0" fontId="0" fillId="0" borderId="39" xfId="0" applyBorder="1" applyAlignment="1">
      <alignment vertical="center"/>
    </xf>
    <xf numFmtId="0" fontId="0" fillId="0" borderId="37" xfId="0" applyBorder="1"/>
    <xf numFmtId="0" fontId="0" fillId="0" borderId="32" xfId="0" applyFill="1" applyBorder="1" applyAlignment="1">
      <alignment horizontal="center"/>
    </xf>
    <xf numFmtId="0" fontId="0" fillId="0" borderId="38" xfId="0" applyFill="1" applyBorder="1" applyAlignment="1">
      <alignment horizontal="center"/>
    </xf>
    <xf numFmtId="0" fontId="0" fillId="0" borderId="21" xfId="0" applyBorder="1" applyAlignment="1"/>
    <xf numFmtId="0" fontId="0" fillId="0" borderId="32" xfId="0" applyBorder="1" applyAlignment="1"/>
    <xf numFmtId="0" fontId="0" fillId="0" borderId="32" xfId="0" applyBorder="1"/>
    <xf numFmtId="0" fontId="0" fillId="0" borderId="38" xfId="0" applyBorder="1"/>
    <xf numFmtId="0" fontId="0" fillId="0" borderId="33" xfId="0" applyFill="1" applyBorder="1"/>
    <xf numFmtId="0" fontId="0" fillId="0" borderId="32" xfId="0" applyFill="1" applyBorder="1" applyAlignment="1"/>
    <xf numFmtId="0" fontId="5" fillId="0" borderId="0" xfId="1" applyFont="1" applyAlignment="1">
      <alignment horizontal="left" vertical="center" wrapText="1"/>
    </xf>
    <xf numFmtId="0" fontId="0" fillId="0" borderId="32"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3" xfId="0" applyBorder="1" applyAlignment="1">
      <alignment vertical="center"/>
    </xf>
    <xf numFmtId="0" fontId="0" fillId="0" borderId="33" xfId="0" applyBorder="1" applyAlignment="1">
      <alignment vertical="center"/>
    </xf>
    <xf numFmtId="0" fontId="0" fillId="0" borderId="33" xfId="0" applyFill="1" applyBorder="1" applyAlignment="1"/>
    <xf numFmtId="0" fontId="0" fillId="0" borderId="41" xfId="0" applyBorder="1" applyAlignment="1">
      <alignment horizontal="left"/>
    </xf>
    <xf numFmtId="0" fontId="0" fillId="0" borderId="41" xfId="0" applyFill="1" applyBorder="1"/>
    <xf numFmtId="0" fontId="0" fillId="0" borderId="41" xfId="0" applyBorder="1" applyAlignment="1">
      <alignment vertical="center"/>
    </xf>
    <xf numFmtId="0" fontId="0" fillId="0" borderId="21" xfId="0" applyFill="1" applyBorder="1"/>
    <xf numFmtId="0" fontId="0" fillId="0" borderId="22" xfId="0" applyBorder="1" applyAlignment="1">
      <alignment vertical="center"/>
    </xf>
    <xf numFmtId="0" fontId="12" fillId="8" borderId="8" xfId="0" applyFont="1" applyFill="1" applyBorder="1" applyAlignment="1">
      <alignment horizontal="left" vertical="center"/>
    </xf>
    <xf numFmtId="0" fontId="12" fillId="10" borderId="9" xfId="0" applyFont="1" applyFill="1" applyBorder="1" applyAlignment="1">
      <alignment horizontal="left" vertical="center"/>
    </xf>
    <xf numFmtId="0" fontId="12" fillId="11" borderId="40" xfId="0" applyFont="1" applyFill="1" applyBorder="1" applyAlignment="1">
      <alignment horizontal="left" vertical="center"/>
    </xf>
    <xf numFmtId="0" fontId="12" fillId="11" borderId="9" xfId="0" applyFont="1" applyFill="1" applyBorder="1" applyAlignment="1">
      <alignment horizontal="left" vertical="center"/>
    </xf>
    <xf numFmtId="0" fontId="0" fillId="0" borderId="0" xfId="0" applyFill="1" applyAlignment="1">
      <alignment horizontal="center"/>
    </xf>
    <xf numFmtId="2" fontId="12" fillId="11" borderId="7" xfId="0" applyNumberFormat="1" applyFont="1" applyFill="1" applyBorder="1" applyAlignment="1">
      <alignment horizontal="center" vertical="center"/>
    </xf>
    <xf numFmtId="0" fontId="12" fillId="10" borderId="40" xfId="0" applyFont="1" applyFill="1" applyBorder="1" applyAlignment="1">
      <alignment horizontal="center" vertical="center"/>
    </xf>
    <xf numFmtId="0" fontId="12" fillId="10" borderId="9" xfId="0" applyFont="1" applyFill="1" applyBorder="1" applyAlignment="1">
      <alignment horizontal="center" vertical="center"/>
    </xf>
    <xf numFmtId="164" fontId="0" fillId="0" borderId="0" xfId="0" applyNumberFormat="1" applyBorder="1" applyAlignment="1">
      <alignment vertical="center" wrapText="1"/>
    </xf>
    <xf numFmtId="0" fontId="6" fillId="0" borderId="0" xfId="1" applyFont="1" applyAlignment="1"/>
    <xf numFmtId="0" fontId="5" fillId="0" borderId="0" xfId="1" applyFont="1" applyAlignment="1">
      <alignment horizontal="center"/>
    </xf>
    <xf numFmtId="0" fontId="3" fillId="0" borderId="44" xfId="1" applyFont="1" applyFill="1" applyBorder="1" applyAlignment="1">
      <alignment vertical="center" wrapText="1"/>
    </xf>
    <xf numFmtId="0" fontId="3" fillId="0" borderId="13" xfId="1" applyFont="1" applyFill="1" applyBorder="1" applyAlignment="1">
      <alignment horizontal="center" vertical="center" wrapText="1"/>
    </xf>
    <xf numFmtId="164" fontId="0" fillId="0" borderId="3" xfId="0" applyNumberFormat="1" applyFill="1" applyBorder="1" applyAlignment="1">
      <alignment vertical="center" wrapText="1"/>
    </xf>
    <xf numFmtId="164" fontId="0" fillId="0" borderId="43" xfId="0" applyNumberFormat="1" applyFill="1" applyBorder="1" applyAlignment="1">
      <alignment vertical="center" wrapText="1"/>
    </xf>
    <xf numFmtId="0" fontId="0" fillId="0" borderId="0" xfId="0" applyBorder="1" applyAlignment="1">
      <alignment horizontal="left"/>
    </xf>
    <xf numFmtId="0" fontId="12" fillId="10" borderId="9" xfId="0" applyFont="1" applyFill="1" applyBorder="1" applyAlignment="1">
      <alignment horizontal="left" vertical="center"/>
    </xf>
    <xf numFmtId="0" fontId="12" fillId="11" borderId="9" xfId="0" applyFont="1" applyFill="1" applyBorder="1" applyAlignment="1">
      <alignment horizontal="left" vertical="center"/>
    </xf>
    <xf numFmtId="0" fontId="12" fillId="8" borderId="8" xfId="0" applyFont="1" applyFill="1" applyBorder="1" applyAlignment="1">
      <alignment horizontal="left" vertical="center"/>
    </xf>
    <xf numFmtId="2" fontId="12" fillId="11" borderId="7" xfId="0" applyNumberFormat="1" applyFont="1" applyFill="1" applyBorder="1" applyAlignment="1">
      <alignment horizontal="center" vertical="center"/>
    </xf>
    <xf numFmtId="0" fontId="12" fillId="10" borderId="40" xfId="0" applyFont="1" applyFill="1" applyBorder="1" applyAlignment="1">
      <alignment horizontal="center" vertical="center"/>
    </xf>
    <xf numFmtId="0" fontId="12" fillId="10" borderId="9" xfId="0" applyFont="1" applyFill="1" applyBorder="1" applyAlignment="1">
      <alignment horizontal="center" vertical="center"/>
    </xf>
    <xf numFmtId="164" fontId="0" fillId="0" borderId="3" xfId="0" applyNumberFormat="1" applyBorder="1" applyAlignment="1">
      <alignment vertical="center" wrapText="1"/>
    </xf>
    <xf numFmtId="0" fontId="15" fillId="10" borderId="8" xfId="0" applyFont="1" applyFill="1" applyBorder="1" applyAlignment="1">
      <alignment horizontal="center" vertical="center"/>
    </xf>
    <xf numFmtId="0" fontId="12" fillId="10" borderId="40" xfId="0" applyFont="1" applyFill="1" applyBorder="1" applyAlignment="1">
      <alignment horizontal="center"/>
    </xf>
    <xf numFmtId="0" fontId="0" fillId="0" borderId="32" xfId="0" applyBorder="1" applyAlignment="1">
      <alignment horizontal="left"/>
    </xf>
    <xf numFmtId="1" fontId="0" fillId="0" borderId="2" xfId="0" applyNumberFormat="1" applyBorder="1"/>
    <xf numFmtId="0" fontId="0" fillId="0" borderId="0" xfId="0" applyAlignment="1">
      <alignment horizontal="left" vertical="center"/>
    </xf>
    <xf numFmtId="0" fontId="12" fillId="7" borderId="39" xfId="0" applyFont="1" applyFill="1" applyBorder="1" applyAlignment="1" applyProtection="1">
      <alignment horizontal="center"/>
      <protection locked="0"/>
    </xf>
    <xf numFmtId="0" fontId="12" fillId="10" borderId="10" xfId="0" applyFont="1" applyFill="1" applyBorder="1" applyAlignment="1">
      <alignment horizontal="left" vertical="center"/>
    </xf>
    <xf numFmtId="0" fontId="12" fillId="10" borderId="12" xfId="0" applyFont="1" applyFill="1" applyBorder="1"/>
    <xf numFmtId="0" fontId="0" fillId="0" borderId="2" xfId="0" applyBorder="1" applyAlignment="1"/>
    <xf numFmtId="0" fontId="12" fillId="10" borderId="21" xfId="0" applyFont="1" applyFill="1" applyBorder="1"/>
    <xf numFmtId="0" fontId="12" fillId="10" borderId="39" xfId="0" applyFont="1" applyFill="1" applyBorder="1"/>
    <xf numFmtId="0" fontId="12" fillId="10" borderId="8" xfId="0" applyFont="1" applyFill="1" applyBorder="1" applyAlignment="1">
      <alignment horizontal="center"/>
    </xf>
    <xf numFmtId="0" fontId="12" fillId="10" borderId="9" xfId="0" applyFont="1" applyFill="1" applyBorder="1" applyAlignment="1">
      <alignment horizontal="center"/>
    </xf>
    <xf numFmtId="0" fontId="11" fillId="7" borderId="7" xfId="0" applyFont="1" applyFill="1" applyBorder="1" applyAlignment="1" applyProtection="1">
      <alignment horizontal="center"/>
      <protection locked="0"/>
    </xf>
    <xf numFmtId="0" fontId="11" fillId="0" borderId="11" xfId="0" applyFont="1" applyFill="1" applyBorder="1" applyAlignment="1" applyProtection="1">
      <protection locked="0"/>
    </xf>
    <xf numFmtId="0" fontId="11" fillId="0" borderId="12" xfId="0" applyFont="1" applyFill="1" applyBorder="1" applyAlignment="1" applyProtection="1">
      <protection locked="0"/>
    </xf>
    <xf numFmtId="0" fontId="11" fillId="18" borderId="7" xfId="0" applyFont="1" applyFill="1" applyBorder="1" applyAlignment="1" applyProtection="1">
      <alignment horizontal="right"/>
      <protection locked="0"/>
    </xf>
    <xf numFmtId="0" fontId="12" fillId="8" borderId="41" xfId="0" applyFont="1" applyFill="1" applyBorder="1" applyAlignment="1" applyProtection="1">
      <alignment horizontal="center"/>
    </xf>
    <xf numFmtId="2" fontId="12" fillId="8" borderId="8" xfId="0" applyNumberFormat="1" applyFont="1" applyFill="1" applyBorder="1" applyAlignment="1" applyProtection="1">
      <alignment horizontal="center"/>
    </xf>
    <xf numFmtId="0" fontId="12" fillId="8" borderId="0" xfId="0" applyFont="1" applyFill="1" applyBorder="1" applyAlignment="1" applyProtection="1">
      <alignment horizontal="center"/>
    </xf>
    <xf numFmtId="2" fontId="12" fillId="8" borderId="37" xfId="0" applyNumberFormat="1" applyFont="1" applyFill="1" applyBorder="1" applyAlignment="1" applyProtection="1">
      <alignment horizontal="center"/>
    </xf>
    <xf numFmtId="0" fontId="12" fillId="9" borderId="0" xfId="0" applyFont="1" applyFill="1" applyBorder="1" applyAlignment="1" applyProtection="1">
      <alignment horizontal="center"/>
    </xf>
    <xf numFmtId="0" fontId="12" fillId="10" borderId="8" xfId="0" applyFont="1" applyFill="1" applyBorder="1" applyAlignment="1" applyProtection="1">
      <alignment horizontal="center"/>
    </xf>
    <xf numFmtId="0" fontId="12" fillId="10" borderId="9" xfId="0" applyFont="1" applyFill="1" applyBorder="1" applyAlignment="1" applyProtection="1">
      <alignment horizontal="center"/>
    </xf>
    <xf numFmtId="0" fontId="12" fillId="10" borderId="0" xfId="0" applyFont="1" applyFill="1" applyBorder="1" applyAlignment="1" applyProtection="1">
      <alignment horizontal="center"/>
    </xf>
    <xf numFmtId="0" fontId="12" fillId="10" borderId="37" xfId="0" applyFont="1" applyFill="1" applyBorder="1" applyAlignment="1" applyProtection="1">
      <alignment horizontal="center"/>
    </xf>
    <xf numFmtId="0" fontId="12" fillId="10" borderId="41" xfId="0" applyFont="1" applyFill="1" applyBorder="1" applyAlignment="1" applyProtection="1">
      <alignment horizontal="center"/>
    </xf>
    <xf numFmtId="0" fontId="12" fillId="10" borderId="7" xfId="0" applyFont="1" applyFill="1" applyBorder="1" applyAlignment="1" applyProtection="1">
      <alignment horizontal="center"/>
    </xf>
    <xf numFmtId="2" fontId="12" fillId="10" borderId="7" xfId="0" applyNumberFormat="1" applyFont="1" applyFill="1" applyBorder="1" applyAlignment="1" applyProtection="1">
      <alignment horizontal="center"/>
    </xf>
    <xf numFmtId="0" fontId="15" fillId="10" borderId="8" xfId="0" applyFont="1" applyFill="1" applyBorder="1" applyAlignment="1" applyProtection="1">
      <alignment horizontal="center" vertical="center"/>
    </xf>
    <xf numFmtId="0" fontId="12" fillId="10" borderId="40" xfId="0" applyFont="1" applyFill="1" applyBorder="1" applyAlignment="1" applyProtection="1">
      <alignment horizontal="center"/>
    </xf>
    <xf numFmtId="0" fontId="12" fillId="10" borderId="40" xfId="0" applyFont="1" applyFill="1" applyBorder="1" applyAlignment="1" applyProtection="1">
      <alignment horizontal="center" vertical="center"/>
    </xf>
    <xf numFmtId="0" fontId="12" fillId="10" borderId="9" xfId="0" applyFont="1" applyFill="1" applyBorder="1" applyAlignment="1" applyProtection="1">
      <alignment horizontal="center" vertical="center"/>
    </xf>
    <xf numFmtId="2" fontId="12" fillId="10" borderId="40" xfId="0" applyNumberFormat="1" applyFont="1" applyFill="1" applyBorder="1" applyAlignment="1" applyProtection="1">
      <alignment horizontal="center"/>
    </xf>
    <xf numFmtId="0" fontId="12" fillId="11" borderId="0" xfId="0" applyFont="1" applyFill="1" applyBorder="1" applyAlignment="1" applyProtection="1">
      <alignment horizontal="center"/>
    </xf>
    <xf numFmtId="2" fontId="12" fillId="11" borderId="8" xfId="0" applyNumberFormat="1" applyFont="1" applyFill="1" applyBorder="1" applyAlignment="1" applyProtection="1">
      <alignment horizontal="center"/>
    </xf>
    <xf numFmtId="2" fontId="12" fillId="11" borderId="7" xfId="0" applyNumberFormat="1" applyFont="1" applyFill="1" applyBorder="1" applyAlignment="1" applyProtection="1">
      <alignment horizontal="center" vertical="center"/>
    </xf>
    <xf numFmtId="0" fontId="12" fillId="11" borderId="11" xfId="0" applyFont="1" applyFill="1" applyBorder="1" applyAlignment="1" applyProtection="1">
      <alignment horizontal="center"/>
    </xf>
    <xf numFmtId="2" fontId="12" fillId="11" borderId="7" xfId="0" applyNumberFormat="1" applyFont="1" applyFill="1" applyBorder="1" applyAlignment="1" applyProtection="1">
      <alignment horizontal="center"/>
    </xf>
    <xf numFmtId="2" fontId="12" fillId="11" borderId="40" xfId="0" applyNumberFormat="1" applyFont="1" applyFill="1" applyBorder="1" applyAlignment="1" applyProtection="1">
      <alignment horizontal="center"/>
    </xf>
    <xf numFmtId="0" fontId="12" fillId="12" borderId="8" xfId="0" applyFont="1" applyFill="1" applyBorder="1" applyAlignment="1" applyProtection="1">
      <alignment horizontal="center"/>
    </xf>
    <xf numFmtId="0" fontId="12" fillId="12" borderId="40" xfId="0" applyFont="1" applyFill="1" applyBorder="1" applyAlignment="1" applyProtection="1">
      <alignment horizontal="center"/>
    </xf>
    <xf numFmtId="0" fontId="12" fillId="12" borderId="9" xfId="0" applyFont="1" applyFill="1" applyBorder="1" applyAlignment="1" applyProtection="1">
      <alignment horizontal="center"/>
    </xf>
    <xf numFmtId="0" fontId="13" fillId="0" borderId="7" xfId="0" applyFont="1" applyBorder="1" applyAlignment="1" applyProtection="1">
      <alignment horizontal="center"/>
    </xf>
    <xf numFmtId="0" fontId="13" fillId="0" borderId="7" xfId="0" applyFont="1" applyFill="1" applyBorder="1" applyAlignment="1" applyProtection="1">
      <alignment horizontal="center"/>
    </xf>
    <xf numFmtId="15" fontId="0" fillId="0" borderId="0" xfId="0" applyNumberFormat="1" applyFill="1"/>
    <xf numFmtId="0" fontId="0" fillId="0" borderId="0" xfId="0" applyFill="1" applyBorder="1" applyAlignment="1">
      <alignment horizontal="center"/>
    </xf>
    <xf numFmtId="2" fontId="0" fillId="0" borderId="2" xfId="3" applyNumberFormat="1" applyFont="1" applyFill="1" applyBorder="1" applyAlignment="1">
      <alignment horizontal="right" vertical="center"/>
    </xf>
    <xf numFmtId="0" fontId="0" fillId="0" borderId="2" xfId="3" applyFont="1" applyFill="1" applyBorder="1" applyAlignment="1">
      <alignment horizontal="right" vertical="center"/>
    </xf>
    <xf numFmtId="1" fontId="0" fillId="0" borderId="3" xfId="3" applyNumberFormat="1" applyFont="1" applyFill="1" applyBorder="1" applyAlignment="1">
      <alignment horizontal="right" vertical="center"/>
    </xf>
    <xf numFmtId="2" fontId="0" fillId="0" borderId="3" xfId="3" applyNumberFormat="1" applyFont="1" applyFill="1" applyBorder="1" applyAlignment="1">
      <alignment horizontal="right" vertical="center"/>
    </xf>
    <xf numFmtId="2" fontId="0" fillId="0" borderId="0" xfId="3" applyNumberFormat="1" applyFont="1" applyFill="1" applyBorder="1" applyAlignment="1">
      <alignment horizontal="right" vertical="center"/>
    </xf>
    <xf numFmtId="0" fontId="0" fillId="0" borderId="0" xfId="3" applyFont="1" applyFill="1" applyBorder="1" applyAlignment="1">
      <alignment horizontal="right" vertical="center"/>
    </xf>
    <xf numFmtId="2" fontId="0" fillId="0" borderId="43" xfId="3" applyNumberFormat="1" applyFont="1" applyFill="1" applyBorder="1" applyAlignment="1">
      <alignment horizontal="right" vertical="center"/>
    </xf>
    <xf numFmtId="0" fontId="17" fillId="0" borderId="0" xfId="3" applyFill="1" applyBorder="1" applyAlignment="1">
      <alignment horizontal="right" vertical="center"/>
    </xf>
    <xf numFmtId="0" fontId="0" fillId="0" borderId="5" xfId="0" applyBorder="1" applyAlignment="1">
      <alignment vertical="center" wrapText="1"/>
    </xf>
    <xf numFmtId="0" fontId="0" fillId="0" borderId="33" xfId="0" applyFill="1" applyBorder="1" applyAlignment="1">
      <alignment vertical="center" wrapText="1"/>
    </xf>
    <xf numFmtId="0" fontId="0" fillId="0" borderId="33" xfId="0" applyBorder="1" applyAlignment="1">
      <alignment horizontal="center"/>
    </xf>
    <xf numFmtId="0" fontId="0" fillId="0" borderId="2" xfId="0" applyFill="1" applyBorder="1" applyAlignment="1"/>
    <xf numFmtId="0" fontId="0" fillId="0" borderId="37" xfId="0" applyFill="1" applyBorder="1" applyAlignment="1">
      <alignment horizontal="center"/>
    </xf>
    <xf numFmtId="0" fontId="0" fillId="0" borderId="33" xfId="0" applyFill="1" applyBorder="1" applyAlignment="1">
      <alignment horizontal="center"/>
    </xf>
    <xf numFmtId="0" fontId="0" fillId="0" borderId="39" xfId="0" applyFill="1" applyBorder="1" applyAlignment="1">
      <alignment horizontal="center"/>
    </xf>
    <xf numFmtId="0" fontId="8" fillId="0" borderId="33" xfId="0" applyFont="1" applyBorder="1" applyAlignment="1">
      <alignment vertical="center"/>
    </xf>
    <xf numFmtId="0" fontId="1" fillId="0" borderId="33" xfId="0" applyFont="1" applyBorder="1" applyAlignment="1"/>
    <xf numFmtId="164" fontId="0" fillId="0" borderId="33" xfId="0" applyNumberFormat="1" applyFill="1" applyBorder="1" applyAlignment="1">
      <alignment vertical="center" wrapText="1"/>
    </xf>
    <xf numFmtId="0" fontId="0" fillId="0" borderId="33" xfId="0" applyBorder="1" applyAlignment="1"/>
    <xf numFmtId="0" fontId="0" fillId="0" borderId="33" xfId="0" applyBorder="1" applyAlignment="1">
      <alignment vertical="center" wrapText="1"/>
    </xf>
    <xf numFmtId="0" fontId="0" fillId="0" borderId="33" xfId="0" applyFill="1" applyBorder="1" applyAlignment="1">
      <alignment vertical="center"/>
    </xf>
    <xf numFmtId="0" fontId="3" fillId="0" borderId="4" xfId="1" applyFont="1" applyFill="1" applyBorder="1" applyAlignment="1">
      <alignment horizontal="center" vertical="center" wrapText="1"/>
    </xf>
    <xf numFmtId="0" fontId="0" fillId="0" borderId="3" xfId="0" quotePrefix="1" applyFill="1" applyBorder="1" applyAlignment="1">
      <alignment vertical="center" wrapText="1"/>
    </xf>
    <xf numFmtId="0" fontId="6" fillId="7" borderId="22" xfId="1" applyFont="1" applyFill="1" applyBorder="1" applyAlignment="1">
      <alignment horizontal="center" vertical="center" wrapText="1"/>
    </xf>
    <xf numFmtId="0" fontId="20" fillId="0" borderId="26" xfId="1" applyFont="1" applyBorder="1" applyAlignment="1">
      <alignment horizontal="center" vertical="center" wrapText="1"/>
    </xf>
    <xf numFmtId="0" fontId="20" fillId="0" borderId="27" xfId="1" applyFont="1" applyBorder="1" applyAlignment="1">
      <alignment horizontal="center" vertical="center" wrapText="1"/>
    </xf>
    <xf numFmtId="0" fontId="20" fillId="0" borderId="26" xfId="1" applyFont="1" applyFill="1" applyBorder="1" applyAlignment="1">
      <alignment horizontal="center" vertical="center" wrapText="1"/>
    </xf>
    <xf numFmtId="0" fontId="20" fillId="0" borderId="27" xfId="1" applyFont="1" applyFill="1" applyBorder="1" applyAlignment="1">
      <alignment horizontal="center" vertical="center" wrapText="1"/>
    </xf>
    <xf numFmtId="0" fontId="3" fillId="0" borderId="26" xfId="1" applyFont="1" applyFill="1" applyBorder="1" applyAlignment="1">
      <alignment horizontal="center" vertical="center" wrapText="1"/>
    </xf>
    <xf numFmtId="0" fontId="3" fillId="0" borderId="27" xfId="1" applyFont="1" applyFill="1" applyBorder="1" applyAlignment="1">
      <alignment horizontal="center" vertical="center" wrapText="1"/>
    </xf>
    <xf numFmtId="0" fontId="12" fillId="11" borderId="9" xfId="0" applyFont="1" applyFill="1" applyBorder="1" applyAlignment="1">
      <alignment horizontal="left" vertical="center"/>
    </xf>
    <xf numFmtId="0" fontId="10" fillId="0" borderId="0" xfId="0" applyFont="1"/>
    <xf numFmtId="0" fontId="0" fillId="8" borderId="7" xfId="0" applyFill="1" applyBorder="1" applyAlignment="1">
      <alignment horizontal="left" vertical="center" wrapText="1"/>
    </xf>
    <xf numFmtId="0" fontId="0" fillId="10" borderId="7" xfId="0" applyFill="1" applyBorder="1" applyAlignment="1">
      <alignment horizontal="left" vertical="center" wrapText="1"/>
    </xf>
    <xf numFmtId="0" fontId="0" fillId="12" borderId="38" xfId="0" applyFill="1" applyBorder="1" applyAlignment="1">
      <alignment vertical="center" wrapText="1"/>
    </xf>
    <xf numFmtId="0" fontId="0" fillId="10" borderId="10" xfId="0" applyFill="1" applyBorder="1" applyAlignment="1">
      <alignment horizontal="left" vertical="center" wrapText="1"/>
    </xf>
    <xf numFmtId="0" fontId="0" fillId="12" borderId="10" xfId="0" applyFill="1" applyBorder="1" applyAlignment="1">
      <alignment horizontal="left" vertical="center" wrapText="1"/>
    </xf>
    <xf numFmtId="0" fontId="0" fillId="12" borderId="38" xfId="0" applyFill="1" applyBorder="1" applyAlignment="1">
      <alignment horizontal="left" vertical="center" wrapText="1"/>
    </xf>
    <xf numFmtId="0" fontId="0" fillId="11" borderId="10" xfId="0" applyFill="1" applyBorder="1" applyAlignment="1">
      <alignment horizontal="left" vertical="center" wrapText="1"/>
    </xf>
    <xf numFmtId="0" fontId="0" fillId="11" borderId="7" xfId="0" applyFill="1" applyBorder="1" applyAlignment="1">
      <alignment vertical="center" wrapText="1"/>
    </xf>
    <xf numFmtId="0" fontId="0" fillId="8" borderId="8" xfId="0" applyFill="1" applyBorder="1" applyAlignment="1">
      <alignment horizontal="left" vertical="center" wrapText="1"/>
    </xf>
    <xf numFmtId="0" fontId="0" fillId="8" borderId="7" xfId="0" applyFill="1" applyBorder="1" applyAlignment="1">
      <alignment vertical="center" wrapText="1"/>
    </xf>
    <xf numFmtId="0" fontId="1" fillId="14" borderId="7" xfId="0" applyFont="1" applyFill="1" applyBorder="1" applyAlignment="1">
      <alignment horizontal="left" wrapText="1"/>
    </xf>
    <xf numFmtId="0" fontId="0" fillId="8" borderId="10" xfId="0" applyFill="1" applyBorder="1" applyAlignment="1">
      <alignment vertical="center" wrapText="1"/>
    </xf>
    <xf numFmtId="0" fontId="0" fillId="8" borderId="0" xfId="0" applyFill="1" applyBorder="1" applyAlignment="1">
      <alignment vertical="center" wrapText="1"/>
    </xf>
    <xf numFmtId="0" fontId="0" fillId="8" borderId="41" xfId="0" applyFill="1" applyBorder="1" applyAlignment="1">
      <alignment horizontal="left" vertical="center" wrapText="1"/>
    </xf>
    <xf numFmtId="0" fontId="0" fillId="9" borderId="41" xfId="0" applyFont="1" applyFill="1" applyBorder="1" applyAlignment="1">
      <alignment horizontal="left" vertical="center" wrapText="1"/>
    </xf>
    <xf numFmtId="0" fontId="0" fillId="9" borderId="7" xfId="0" applyFont="1" applyFill="1" applyBorder="1" applyAlignment="1">
      <alignment horizontal="left" vertical="center" wrapText="1"/>
    </xf>
    <xf numFmtId="0" fontId="0" fillId="11" borderId="8" xfId="0" applyFill="1" applyBorder="1" applyAlignment="1">
      <alignment horizontal="left" vertical="center" wrapText="1"/>
    </xf>
    <xf numFmtId="0" fontId="0" fillId="11" borderId="7" xfId="0" applyFill="1" applyBorder="1" applyAlignment="1">
      <alignment horizontal="left" vertical="center" wrapText="1"/>
    </xf>
    <xf numFmtId="0" fontId="0" fillId="11" borderId="11" xfId="0" applyFont="1" applyFill="1" applyBorder="1" applyAlignment="1">
      <alignment vertical="center" wrapText="1"/>
    </xf>
    <xf numFmtId="0" fontId="0" fillId="11" borderId="0" xfId="0" applyFont="1" applyFill="1" applyBorder="1" applyAlignment="1">
      <alignment vertical="center" wrapText="1"/>
    </xf>
    <xf numFmtId="0" fontId="0" fillId="12" borderId="10" xfId="0" applyFill="1" applyBorder="1" applyAlignment="1">
      <alignment vertical="center" wrapText="1"/>
    </xf>
    <xf numFmtId="0" fontId="12" fillId="11" borderId="40" xfId="0" applyFont="1" applyFill="1" applyBorder="1" applyAlignment="1">
      <alignment horizontal="left" vertical="center"/>
    </xf>
    <xf numFmtId="0" fontId="12" fillId="11" borderId="7" xfId="0" applyFont="1" applyFill="1" applyBorder="1" applyAlignment="1">
      <alignment horizontal="left"/>
    </xf>
    <xf numFmtId="0" fontId="0" fillId="0" borderId="0" xfId="0" applyAlignment="1">
      <alignment horizontal="center"/>
    </xf>
    <xf numFmtId="0" fontId="6" fillId="7" borderId="22" xfId="1" applyFont="1" applyFill="1" applyBorder="1" applyAlignment="1">
      <alignment horizontal="center" vertical="center" wrapText="1"/>
    </xf>
    <xf numFmtId="0" fontId="6" fillId="7" borderId="21" xfId="1" applyFont="1" applyFill="1" applyBorder="1" applyAlignment="1">
      <alignment horizontal="center" vertical="center" wrapText="1"/>
    </xf>
    <xf numFmtId="0" fontId="6" fillId="7" borderId="46" xfId="1" applyFont="1" applyFill="1" applyBorder="1" applyAlignment="1">
      <alignment horizontal="center" vertical="center" wrapText="1"/>
    </xf>
    <xf numFmtId="0" fontId="6" fillId="7" borderId="47" xfId="1" applyFont="1" applyFill="1" applyBorder="1" applyAlignment="1">
      <alignment horizontal="center" vertical="center" wrapText="1"/>
    </xf>
    <xf numFmtId="0" fontId="6" fillId="7" borderId="10" xfId="1" applyFont="1" applyFill="1" applyBorder="1" applyAlignment="1">
      <alignment horizontal="center" vertical="center" wrapText="1"/>
    </xf>
    <xf numFmtId="0" fontId="6" fillId="7" borderId="11" xfId="1" applyFont="1" applyFill="1" applyBorder="1" applyAlignment="1">
      <alignment horizontal="center" vertical="center" wrapText="1"/>
    </xf>
    <xf numFmtId="0" fontId="6" fillId="7" borderId="12" xfId="1" applyFont="1" applyFill="1" applyBorder="1" applyAlignment="1">
      <alignment horizontal="center" vertical="center" wrapText="1"/>
    </xf>
    <xf numFmtId="0" fontId="6" fillId="7" borderId="8" xfId="1" applyFont="1" applyFill="1" applyBorder="1" applyAlignment="1">
      <alignment horizontal="center" vertical="center" wrapText="1"/>
    </xf>
    <xf numFmtId="0" fontId="6" fillId="7" borderId="45" xfId="1" applyFont="1" applyFill="1" applyBorder="1" applyAlignment="1">
      <alignment horizontal="center" vertical="center" wrapText="1"/>
    </xf>
    <xf numFmtId="0" fontId="5" fillId="5" borderId="0" xfId="1" applyFont="1" applyFill="1" applyBorder="1" applyAlignment="1">
      <alignment horizontal="left" vertical="center" wrapText="1"/>
    </xf>
    <xf numFmtId="0" fontId="5" fillId="0" borderId="0" xfId="1" applyFont="1" applyAlignment="1">
      <alignment horizontal="left" vertical="center" wrapText="1"/>
    </xf>
    <xf numFmtId="0" fontId="4" fillId="0" borderId="13" xfId="1" applyFont="1" applyFill="1" applyBorder="1" applyAlignment="1">
      <alignment horizontal="center" vertical="center" wrapText="1"/>
    </xf>
    <xf numFmtId="0" fontId="4" fillId="0" borderId="14" xfId="1" applyFont="1" applyFill="1" applyBorder="1" applyAlignment="1">
      <alignment horizontal="center" vertical="center" wrapText="1"/>
    </xf>
    <xf numFmtId="0" fontId="4" fillId="6" borderId="16" xfId="1" applyFont="1" applyFill="1" applyBorder="1" applyAlignment="1">
      <alignment horizontal="center" vertical="center"/>
    </xf>
    <xf numFmtId="0" fontId="4" fillId="6" borderId="17" xfId="1" applyFont="1" applyFill="1" applyBorder="1" applyAlignment="1">
      <alignment horizontal="center" vertical="center"/>
    </xf>
    <xf numFmtId="0" fontId="4" fillId="6" borderId="18" xfId="1" applyFont="1" applyFill="1" applyBorder="1" applyAlignment="1">
      <alignment horizontal="center" vertical="center"/>
    </xf>
    <xf numFmtId="0" fontId="4" fillId="6" borderId="19" xfId="1" applyFont="1" applyFill="1" applyBorder="1" applyAlignment="1">
      <alignment horizontal="center" vertical="center"/>
    </xf>
    <xf numFmtId="0" fontId="5" fillId="0" borderId="0" xfId="1" applyFont="1" applyBorder="1" applyAlignment="1">
      <alignment horizontal="center" wrapText="1"/>
    </xf>
    <xf numFmtId="0" fontId="19" fillId="0" borderId="0" xfId="1" applyFont="1" applyBorder="1" applyAlignment="1">
      <alignment horizontal="center" wrapText="1"/>
    </xf>
    <xf numFmtId="0" fontId="19" fillId="0" borderId="30" xfId="1" applyFont="1" applyBorder="1" applyAlignment="1">
      <alignment horizontal="center" wrapText="1"/>
    </xf>
    <xf numFmtId="0" fontId="0" fillId="10" borderId="8" xfId="0" applyFill="1" applyBorder="1" applyAlignment="1">
      <alignment horizontal="left" vertical="center" wrapText="1"/>
    </xf>
    <xf numFmtId="0" fontId="0" fillId="10" borderId="40" xfId="0" applyFill="1" applyBorder="1" applyAlignment="1">
      <alignment horizontal="left" vertical="center" wrapText="1"/>
    </xf>
    <xf numFmtId="0" fontId="0" fillId="10" borderId="9" xfId="0" applyFill="1" applyBorder="1" applyAlignment="1">
      <alignment horizontal="left" vertical="center" wrapText="1"/>
    </xf>
    <xf numFmtId="0" fontId="0" fillId="8" borderId="21" xfId="0" applyFill="1" applyBorder="1" applyAlignment="1">
      <alignment horizontal="left" vertical="center" wrapText="1"/>
    </xf>
    <xf numFmtId="0" fontId="0" fillId="8" borderId="33" xfId="0" applyFill="1" applyBorder="1" applyAlignment="1">
      <alignment horizontal="left" vertical="center" wrapText="1"/>
    </xf>
    <xf numFmtId="0" fontId="0" fillId="8" borderId="39" xfId="0" applyFill="1" applyBorder="1" applyAlignment="1">
      <alignment horizontal="left" vertical="center" wrapText="1"/>
    </xf>
    <xf numFmtId="0" fontId="0" fillId="8" borderId="8" xfId="0" applyFill="1" applyBorder="1" applyAlignment="1">
      <alignment horizontal="left" vertical="center" wrapText="1"/>
    </xf>
    <xf numFmtId="0" fontId="0" fillId="8" borderId="40" xfId="0" applyFill="1" applyBorder="1" applyAlignment="1">
      <alignment horizontal="left" vertical="center" wrapText="1"/>
    </xf>
    <xf numFmtId="0" fontId="0" fillId="8" borderId="9" xfId="0" applyFill="1" applyBorder="1" applyAlignment="1">
      <alignment horizontal="left" vertical="center" wrapText="1"/>
    </xf>
    <xf numFmtId="0" fontId="0" fillId="9" borderId="21" xfId="0" applyFont="1" applyFill="1" applyBorder="1" applyAlignment="1">
      <alignment horizontal="left" vertical="center" wrapText="1"/>
    </xf>
    <xf numFmtId="0" fontId="0" fillId="9" borderId="39" xfId="0" applyFont="1" applyFill="1" applyBorder="1" applyAlignment="1">
      <alignment horizontal="left" vertical="center" wrapText="1"/>
    </xf>
    <xf numFmtId="0" fontId="0" fillId="9" borderId="8" xfId="0" applyFont="1" applyFill="1" applyBorder="1" applyAlignment="1">
      <alignment horizontal="left" vertical="center" wrapText="1"/>
    </xf>
    <xf numFmtId="0" fontId="0" fillId="9" borderId="9" xfId="0" applyFont="1" applyFill="1" applyBorder="1" applyAlignment="1">
      <alignment horizontal="left" vertical="center" wrapText="1"/>
    </xf>
    <xf numFmtId="0" fontId="0" fillId="11" borderId="8" xfId="0" applyFill="1" applyBorder="1" applyAlignment="1">
      <alignment horizontal="left" vertical="center" wrapText="1"/>
    </xf>
    <xf numFmtId="0" fontId="0" fillId="11" borderId="40" xfId="0" applyFill="1" applyBorder="1" applyAlignment="1">
      <alignment horizontal="left" vertical="center" wrapText="1"/>
    </xf>
    <xf numFmtId="0" fontId="0" fillId="11" borderId="9" xfId="0" applyFill="1" applyBorder="1" applyAlignment="1">
      <alignment horizontal="left" vertical="center" wrapText="1"/>
    </xf>
    <xf numFmtId="0" fontId="0" fillId="12" borderId="8" xfId="0" applyFill="1" applyBorder="1" applyAlignment="1">
      <alignment horizontal="left" vertical="center" wrapText="1"/>
    </xf>
    <xf numFmtId="0" fontId="0" fillId="12" borderId="40" xfId="0" applyFill="1" applyBorder="1" applyAlignment="1">
      <alignment horizontal="left" vertical="center" wrapText="1"/>
    </xf>
    <xf numFmtId="0" fontId="0" fillId="12" borderId="9" xfId="0" applyFill="1" applyBorder="1" applyAlignment="1">
      <alignment horizontal="left" vertical="center" wrapText="1"/>
    </xf>
    <xf numFmtId="0" fontId="0" fillId="9" borderId="8" xfId="0" applyFill="1" applyBorder="1" applyAlignment="1">
      <alignment horizontal="left" vertical="center" wrapText="1"/>
    </xf>
    <xf numFmtId="0" fontId="0" fillId="9" borderId="9" xfId="0" applyFill="1" applyBorder="1" applyAlignment="1">
      <alignment horizontal="left" vertical="center" wrapText="1"/>
    </xf>
    <xf numFmtId="0" fontId="12" fillId="13" borderId="22" xfId="0" applyFont="1" applyFill="1" applyBorder="1" applyAlignment="1">
      <alignment horizontal="center"/>
    </xf>
    <xf numFmtId="0" fontId="12" fillId="13" borderId="41" xfId="0" applyFont="1" applyFill="1" applyBorder="1" applyAlignment="1">
      <alignment horizontal="center"/>
    </xf>
    <xf numFmtId="0" fontId="12" fillId="13" borderId="21" xfId="0" applyFont="1" applyFill="1" applyBorder="1" applyAlignment="1">
      <alignment horizontal="center"/>
    </xf>
    <xf numFmtId="0" fontId="12" fillId="17" borderId="32" xfId="0" applyFont="1" applyFill="1" applyBorder="1" applyAlignment="1">
      <alignment horizontal="center"/>
    </xf>
    <xf numFmtId="0" fontId="12" fillId="17" borderId="0" xfId="0" applyFont="1" applyFill="1" applyBorder="1" applyAlignment="1">
      <alignment horizontal="center"/>
    </xf>
    <xf numFmtId="0" fontId="12" fillId="17" borderId="33" xfId="0" applyFont="1" applyFill="1" applyBorder="1" applyAlignment="1">
      <alignment horizontal="center"/>
    </xf>
    <xf numFmtId="0" fontId="10" fillId="0" borderId="7" xfId="0" applyFont="1" applyBorder="1" applyAlignment="1">
      <alignment horizontal="center" vertical="center"/>
    </xf>
    <xf numFmtId="0" fontId="11" fillId="0" borderId="10" xfId="0" applyFont="1" applyBorder="1" applyAlignment="1">
      <alignment horizontal="center"/>
    </xf>
    <xf numFmtId="0" fontId="11" fillId="0" borderId="11" xfId="0" applyFont="1" applyBorder="1" applyAlignment="1">
      <alignment horizontal="center"/>
    </xf>
    <xf numFmtId="0" fontId="11" fillId="0" borderId="12" xfId="0" applyFont="1" applyBorder="1" applyAlignment="1">
      <alignment horizontal="center"/>
    </xf>
    <xf numFmtId="0" fontId="12" fillId="8" borderId="8" xfId="0" applyFont="1" applyFill="1" applyBorder="1" applyAlignment="1">
      <alignment horizontal="left" vertical="center"/>
    </xf>
    <xf numFmtId="0" fontId="12" fillId="8" borderId="40" xfId="0" applyFont="1" applyFill="1" applyBorder="1" applyAlignment="1">
      <alignment horizontal="left" vertical="center"/>
    </xf>
    <xf numFmtId="2" fontId="16" fillId="0" borderId="7" xfId="0" applyNumberFormat="1" applyFont="1" applyBorder="1" applyAlignment="1">
      <alignment horizontal="center" vertical="center"/>
    </xf>
    <xf numFmtId="0" fontId="11" fillId="0" borderId="22"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39" xfId="0" applyFont="1" applyBorder="1" applyAlignment="1">
      <alignment horizontal="center" vertical="center" wrapText="1"/>
    </xf>
    <xf numFmtId="2" fontId="12" fillId="8" borderId="7" xfId="0" applyNumberFormat="1" applyFont="1" applyFill="1" applyBorder="1" applyAlignment="1">
      <alignment horizontal="center" vertical="center"/>
    </xf>
    <xf numFmtId="2" fontId="12" fillId="8" borderId="12" xfId="0" applyNumberFormat="1" applyFont="1" applyFill="1" applyBorder="1" applyAlignment="1">
      <alignment horizontal="center" vertical="center"/>
    </xf>
    <xf numFmtId="0" fontId="12" fillId="0" borderId="7" xfId="0" applyFont="1" applyBorder="1" applyAlignment="1">
      <alignment horizontal="center" vertical="center" wrapText="1"/>
    </xf>
    <xf numFmtId="0" fontId="12" fillId="8" borderId="9" xfId="0" applyFont="1" applyFill="1" applyBorder="1" applyAlignment="1">
      <alignment horizontal="left" vertical="center"/>
    </xf>
    <xf numFmtId="0" fontId="12" fillId="10" borderId="8" xfId="0" applyFont="1" applyFill="1" applyBorder="1" applyAlignment="1">
      <alignment horizontal="left" vertical="center"/>
    </xf>
    <xf numFmtId="0" fontId="12" fillId="10" borderId="40" xfId="0" applyFont="1" applyFill="1" applyBorder="1" applyAlignment="1">
      <alignment horizontal="left" vertical="center"/>
    </xf>
    <xf numFmtId="0" fontId="12" fillId="10" borderId="9" xfId="0" applyFont="1" applyFill="1" applyBorder="1" applyAlignment="1">
      <alignment horizontal="left" vertical="center"/>
    </xf>
    <xf numFmtId="0" fontId="12" fillId="0" borderId="38" xfId="0" applyFont="1" applyFill="1" applyBorder="1" applyAlignment="1">
      <alignment horizontal="center"/>
    </xf>
    <xf numFmtId="0" fontId="12" fillId="0" borderId="37" xfId="0" applyFont="1" applyFill="1" applyBorder="1" applyAlignment="1">
      <alignment horizontal="center"/>
    </xf>
    <xf numFmtId="0" fontId="12" fillId="0" borderId="39" xfId="0" applyFont="1" applyFill="1" applyBorder="1" applyAlignment="1">
      <alignment horizont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8" fillId="0" borderId="0" xfId="0" applyFont="1" applyAlignment="1" applyProtection="1">
      <alignment horizontal="center"/>
    </xf>
    <xf numFmtId="0" fontId="11" fillId="0" borderId="7" xfId="0" applyFont="1" applyBorder="1" applyAlignment="1">
      <alignment horizontal="center" vertical="center"/>
    </xf>
    <xf numFmtId="2" fontId="16" fillId="0" borderId="22" xfId="0" applyNumberFormat="1" applyFont="1" applyBorder="1" applyAlignment="1">
      <alignment horizontal="center" vertical="center"/>
    </xf>
    <xf numFmtId="2" fontId="16" fillId="0" borderId="21" xfId="0" applyNumberFormat="1" applyFont="1" applyBorder="1" applyAlignment="1">
      <alignment horizontal="center" vertical="center"/>
    </xf>
    <xf numFmtId="2" fontId="16" fillId="0" borderId="32" xfId="0" applyNumberFormat="1" applyFont="1" applyBorder="1" applyAlignment="1">
      <alignment horizontal="center" vertical="center"/>
    </xf>
    <xf numFmtId="2" fontId="16" fillId="0" borderId="33" xfId="0" applyNumberFormat="1" applyFont="1" applyBorder="1" applyAlignment="1">
      <alignment horizontal="center" vertical="center"/>
    </xf>
    <xf numFmtId="2" fontId="16" fillId="0" borderId="38" xfId="0" applyNumberFormat="1" applyFont="1" applyBorder="1" applyAlignment="1">
      <alignment horizontal="center" vertical="center"/>
    </xf>
    <xf numFmtId="2" fontId="16" fillId="0" borderId="39" xfId="0" applyNumberFormat="1" applyFont="1" applyBorder="1" applyAlignment="1">
      <alignment horizontal="center" vertical="center"/>
    </xf>
    <xf numFmtId="0" fontId="16" fillId="11" borderId="22" xfId="0" applyFont="1" applyFill="1" applyBorder="1" applyAlignment="1">
      <alignment horizontal="center" vertical="center"/>
    </xf>
    <xf numFmtId="0" fontId="16" fillId="11" borderId="21" xfId="0" applyFont="1" applyFill="1" applyBorder="1" applyAlignment="1">
      <alignment horizontal="center" vertical="center"/>
    </xf>
    <xf numFmtId="0" fontId="16" fillId="11" borderId="32" xfId="0" applyFont="1" applyFill="1" applyBorder="1" applyAlignment="1">
      <alignment horizontal="center" vertical="center"/>
    </xf>
    <xf numFmtId="0" fontId="16" fillId="11" borderId="33" xfId="0" applyFont="1" applyFill="1" applyBorder="1" applyAlignment="1">
      <alignment horizontal="center" vertical="center"/>
    </xf>
    <xf numFmtId="0" fontId="16" fillId="11" borderId="38" xfId="0" applyFont="1" applyFill="1" applyBorder="1" applyAlignment="1">
      <alignment horizontal="center" vertical="center"/>
    </xf>
    <xf numFmtId="0" fontId="16" fillId="11" borderId="39" xfId="0" applyFont="1" applyFill="1" applyBorder="1" applyAlignment="1">
      <alignment horizontal="center" vertical="center"/>
    </xf>
    <xf numFmtId="0" fontId="16" fillId="12" borderId="22" xfId="0" applyFont="1" applyFill="1" applyBorder="1" applyAlignment="1">
      <alignment horizontal="center" vertical="center"/>
    </xf>
    <xf numFmtId="0" fontId="16" fillId="12" borderId="21" xfId="0" applyFont="1" applyFill="1" applyBorder="1" applyAlignment="1">
      <alignment horizontal="center" vertical="center"/>
    </xf>
    <xf numFmtId="0" fontId="16" fillId="12" borderId="32" xfId="0" applyFont="1" applyFill="1" applyBorder="1" applyAlignment="1">
      <alignment horizontal="center" vertical="center"/>
    </xf>
    <xf numFmtId="0" fontId="16" fillId="12" borderId="33" xfId="0" applyFont="1" applyFill="1" applyBorder="1" applyAlignment="1">
      <alignment horizontal="center" vertical="center"/>
    </xf>
    <xf numFmtId="0" fontId="16" fillId="12" borderId="38" xfId="0" applyFont="1" applyFill="1" applyBorder="1" applyAlignment="1">
      <alignment horizontal="center" vertical="center"/>
    </xf>
    <xf numFmtId="0" fontId="16" fillId="12" borderId="39" xfId="0" applyFont="1" applyFill="1" applyBorder="1" applyAlignment="1">
      <alignment horizontal="center" vertical="center"/>
    </xf>
    <xf numFmtId="2" fontId="16" fillId="0" borderId="8" xfId="0" applyNumberFormat="1" applyFont="1" applyBorder="1" applyAlignment="1">
      <alignment horizontal="center" vertical="center"/>
    </xf>
    <xf numFmtId="2" fontId="16" fillId="0" borderId="40" xfId="0" applyNumberFormat="1" applyFont="1" applyBorder="1" applyAlignment="1">
      <alignment horizontal="center" vertical="center"/>
    </xf>
    <xf numFmtId="2" fontId="16" fillId="0" borderId="9" xfId="0" applyNumberFormat="1" applyFont="1" applyBorder="1" applyAlignment="1">
      <alignment horizontal="center" vertical="center"/>
    </xf>
    <xf numFmtId="0" fontId="13" fillId="0" borderId="10" xfId="0" applyFont="1" applyBorder="1" applyAlignment="1">
      <alignment horizontal="center"/>
    </xf>
    <xf numFmtId="0" fontId="13" fillId="0" borderId="11" xfId="0" applyFont="1" applyBorder="1" applyAlignment="1">
      <alignment horizontal="center"/>
    </xf>
    <xf numFmtId="0" fontId="16" fillId="8" borderId="7" xfId="0" applyFont="1" applyFill="1" applyBorder="1" applyAlignment="1">
      <alignment horizontal="center" vertical="center"/>
    </xf>
    <xf numFmtId="0" fontId="16" fillId="9" borderId="7" xfId="0" applyFont="1" applyFill="1" applyBorder="1" applyAlignment="1">
      <alignment horizontal="center" vertical="center"/>
    </xf>
    <xf numFmtId="2" fontId="12" fillId="0" borderId="8" xfId="0" applyNumberFormat="1" applyFont="1" applyBorder="1" applyAlignment="1">
      <alignment horizontal="center" vertical="center" wrapText="1"/>
    </xf>
    <xf numFmtId="2" fontId="12" fillId="0" borderId="9" xfId="0" applyNumberFormat="1" applyFont="1" applyBorder="1" applyAlignment="1">
      <alignment horizontal="center" vertical="center" wrapText="1"/>
    </xf>
    <xf numFmtId="2" fontId="12" fillId="9" borderId="8" xfId="0" applyNumberFormat="1" applyFont="1" applyFill="1" applyBorder="1" applyAlignment="1">
      <alignment horizontal="center" vertical="center"/>
    </xf>
    <xf numFmtId="2" fontId="12" fillId="9" borderId="9" xfId="0" applyNumberFormat="1" applyFont="1" applyFill="1" applyBorder="1" applyAlignment="1">
      <alignment horizontal="center" vertical="center"/>
    </xf>
    <xf numFmtId="2" fontId="12" fillId="10" borderId="21" xfId="0" applyNumberFormat="1" applyFont="1" applyFill="1" applyBorder="1" applyAlignment="1">
      <alignment horizontal="center" vertical="center"/>
    </xf>
    <xf numFmtId="2" fontId="12" fillId="10" borderId="33" xfId="0" applyNumberFormat="1" applyFont="1" applyFill="1" applyBorder="1" applyAlignment="1">
      <alignment horizontal="center" vertical="center"/>
    </xf>
    <xf numFmtId="2" fontId="12" fillId="10" borderId="39" xfId="0" applyNumberFormat="1" applyFont="1" applyFill="1" applyBorder="1" applyAlignment="1">
      <alignment horizontal="center" vertical="center"/>
    </xf>
    <xf numFmtId="0" fontId="16" fillId="10" borderId="22" xfId="0" applyFont="1" applyFill="1" applyBorder="1" applyAlignment="1">
      <alignment horizontal="center" vertical="center"/>
    </xf>
    <xf numFmtId="0" fontId="16" fillId="10" borderId="21" xfId="0" applyFont="1" applyFill="1" applyBorder="1" applyAlignment="1">
      <alignment horizontal="center" vertical="center"/>
    </xf>
    <xf numFmtId="0" fontId="16" fillId="10" borderId="32" xfId="0" applyFont="1" applyFill="1" applyBorder="1" applyAlignment="1">
      <alignment horizontal="center" vertical="center"/>
    </xf>
    <xf numFmtId="0" fontId="16" fillId="10" borderId="33" xfId="0" applyFont="1" applyFill="1" applyBorder="1" applyAlignment="1">
      <alignment horizontal="center" vertical="center"/>
    </xf>
    <xf numFmtId="0" fontId="16" fillId="10" borderId="38" xfId="0" applyFont="1" applyFill="1" applyBorder="1" applyAlignment="1">
      <alignment horizontal="center" vertical="center"/>
    </xf>
    <xf numFmtId="0" fontId="16" fillId="10" borderId="39" xfId="0" applyFont="1" applyFill="1" applyBorder="1" applyAlignment="1">
      <alignment horizontal="center" vertical="center"/>
    </xf>
    <xf numFmtId="2" fontId="12" fillId="12" borderId="8" xfId="0" applyNumberFormat="1" applyFont="1" applyFill="1" applyBorder="1" applyAlignment="1">
      <alignment horizontal="center" vertical="center"/>
    </xf>
    <xf numFmtId="2" fontId="12" fillId="12" borderId="9" xfId="0" applyNumberFormat="1" applyFont="1" applyFill="1" applyBorder="1" applyAlignment="1">
      <alignment horizontal="center" vertical="center"/>
    </xf>
    <xf numFmtId="0" fontId="12" fillId="12" borderId="22" xfId="0" applyFont="1" applyFill="1" applyBorder="1" applyAlignment="1">
      <alignment horizontal="left" vertical="center"/>
    </xf>
    <xf numFmtId="0" fontId="12" fillId="12" borderId="32" xfId="0" applyFont="1" applyFill="1" applyBorder="1" applyAlignment="1">
      <alignment horizontal="left" vertical="center"/>
    </xf>
    <xf numFmtId="0" fontId="12" fillId="12" borderId="38" xfId="0" applyFont="1" applyFill="1" applyBorder="1" applyAlignment="1">
      <alignment horizontal="left" vertical="center"/>
    </xf>
    <xf numFmtId="2" fontId="12" fillId="12" borderId="40" xfId="0" applyNumberFormat="1" applyFont="1" applyFill="1" applyBorder="1" applyAlignment="1">
      <alignment horizontal="center" vertical="center"/>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2" fontId="12" fillId="0" borderId="7" xfId="0" applyNumberFormat="1" applyFont="1" applyBorder="1" applyAlignment="1">
      <alignment horizontal="center" vertical="center"/>
    </xf>
    <xf numFmtId="0" fontId="12" fillId="0" borderId="8"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9" xfId="0" applyFont="1" applyBorder="1" applyAlignment="1">
      <alignment horizontal="center" vertical="center" wrapText="1"/>
    </xf>
    <xf numFmtId="0" fontId="12" fillId="11" borderId="8" xfId="0" applyFont="1" applyFill="1" applyBorder="1" applyAlignment="1">
      <alignment horizontal="left" vertical="center"/>
    </xf>
    <xf numFmtId="0" fontId="12" fillId="11" borderId="40" xfId="0" applyFont="1" applyFill="1" applyBorder="1" applyAlignment="1">
      <alignment horizontal="left" vertical="center"/>
    </xf>
    <xf numFmtId="0" fontId="12" fillId="11" borderId="9" xfId="0" applyFont="1" applyFill="1" applyBorder="1" applyAlignment="1">
      <alignment horizontal="left" vertical="center"/>
    </xf>
    <xf numFmtId="0" fontId="12" fillId="12" borderId="10" xfId="0" applyFont="1" applyFill="1" applyBorder="1" applyAlignment="1">
      <alignment horizontal="left" vertical="center"/>
    </xf>
    <xf numFmtId="2" fontId="12" fillId="12" borderId="21" xfId="0" applyNumberFormat="1" applyFont="1" applyFill="1" applyBorder="1" applyAlignment="1">
      <alignment horizontal="center" vertical="center"/>
    </xf>
    <xf numFmtId="2" fontId="12" fillId="12" borderId="39" xfId="0" applyNumberFormat="1" applyFont="1" applyFill="1" applyBorder="1" applyAlignment="1">
      <alignment horizontal="center" vertical="center"/>
    </xf>
    <xf numFmtId="2" fontId="12" fillId="9" borderId="40" xfId="0" applyNumberFormat="1" applyFont="1" applyFill="1" applyBorder="1" applyAlignment="1">
      <alignment horizontal="center" vertical="center"/>
    </xf>
    <xf numFmtId="2" fontId="12" fillId="10" borderId="12" xfId="0" applyNumberFormat="1" applyFont="1" applyFill="1" applyBorder="1" applyAlignment="1">
      <alignment horizontal="center" vertical="center"/>
    </xf>
    <xf numFmtId="2" fontId="12" fillId="10" borderId="7" xfId="0" applyNumberFormat="1" applyFont="1" applyFill="1" applyBorder="1" applyAlignment="1">
      <alignment horizontal="center" vertical="center"/>
    </xf>
    <xf numFmtId="2" fontId="12" fillId="0" borderId="7" xfId="0" applyNumberFormat="1" applyFont="1" applyBorder="1" applyAlignment="1">
      <alignment horizontal="center" vertical="center" wrapText="1"/>
    </xf>
    <xf numFmtId="2" fontId="12" fillId="12" borderId="7" xfId="0" applyNumberFormat="1" applyFont="1" applyFill="1" applyBorder="1" applyAlignment="1">
      <alignment horizontal="center" vertical="center"/>
    </xf>
    <xf numFmtId="0" fontId="12" fillId="12" borderId="8" xfId="0" applyFont="1" applyFill="1" applyBorder="1" applyAlignment="1">
      <alignment horizontal="left" vertical="center"/>
    </xf>
    <xf numFmtId="0" fontId="12" fillId="12" borderId="40" xfId="0" applyFont="1" applyFill="1" applyBorder="1" applyAlignment="1">
      <alignment horizontal="left" vertical="center"/>
    </xf>
    <xf numFmtId="0" fontId="12" fillId="12" borderId="9" xfId="0" applyFont="1" applyFill="1" applyBorder="1" applyAlignment="1">
      <alignment horizontal="left" vertical="center"/>
    </xf>
    <xf numFmtId="0" fontId="12" fillId="8" borderId="22" xfId="0" applyFont="1" applyFill="1" applyBorder="1" applyAlignment="1">
      <alignment horizontal="left" vertical="center"/>
    </xf>
    <xf numFmtId="0" fontId="12" fillId="8" borderId="32" xfId="0" applyFont="1" applyFill="1" applyBorder="1" applyAlignment="1">
      <alignment horizontal="left" vertical="center"/>
    </xf>
    <xf numFmtId="0" fontId="12" fillId="8" borderId="38" xfId="0" applyFont="1" applyFill="1" applyBorder="1" applyAlignment="1">
      <alignment horizontal="left" vertical="center"/>
    </xf>
    <xf numFmtId="2" fontId="12" fillId="8" borderId="8" xfId="0" applyNumberFormat="1" applyFont="1" applyFill="1" applyBorder="1" applyAlignment="1">
      <alignment horizontal="center" vertical="center"/>
    </xf>
    <xf numFmtId="2" fontId="12" fillId="8" borderId="40" xfId="0" applyNumberFormat="1" applyFont="1" applyFill="1" applyBorder="1" applyAlignment="1">
      <alignment horizontal="center" vertical="center"/>
    </xf>
    <xf numFmtId="2" fontId="12" fillId="8" borderId="9" xfId="0" applyNumberFormat="1" applyFont="1" applyFill="1" applyBorder="1" applyAlignment="1">
      <alignment horizontal="center" vertical="center"/>
    </xf>
    <xf numFmtId="0" fontId="12" fillId="9" borderId="8" xfId="0" applyFont="1" applyFill="1" applyBorder="1" applyAlignment="1">
      <alignment horizontal="left" vertical="center"/>
    </xf>
    <xf numFmtId="0" fontId="12" fillId="9" borderId="40" xfId="0" applyFont="1" applyFill="1" applyBorder="1" applyAlignment="1">
      <alignment horizontal="left" vertical="center"/>
    </xf>
    <xf numFmtId="0" fontId="12" fillId="9" borderId="9" xfId="0" applyFont="1" applyFill="1" applyBorder="1" applyAlignment="1">
      <alignment horizontal="left" vertical="center"/>
    </xf>
    <xf numFmtId="2" fontId="12" fillId="10" borderId="8" xfId="0" applyNumberFormat="1" applyFont="1" applyFill="1" applyBorder="1" applyAlignment="1">
      <alignment horizontal="center" vertical="center"/>
    </xf>
    <xf numFmtId="2" fontId="12" fillId="10" borderId="40" xfId="0" applyNumberFormat="1" applyFont="1" applyFill="1" applyBorder="1" applyAlignment="1">
      <alignment horizontal="center" vertical="center"/>
    </xf>
    <xf numFmtId="2" fontId="12" fillId="10" borderId="9" xfId="0" applyNumberFormat="1" applyFont="1" applyFill="1" applyBorder="1" applyAlignment="1">
      <alignment horizontal="center" vertical="center"/>
    </xf>
    <xf numFmtId="0" fontId="12" fillId="10" borderId="22" xfId="0" applyFont="1" applyFill="1" applyBorder="1" applyAlignment="1">
      <alignment horizontal="left" vertical="center"/>
    </xf>
    <xf numFmtId="0" fontId="12" fillId="10" borderId="38" xfId="0" applyFont="1" applyFill="1" applyBorder="1" applyAlignment="1">
      <alignment horizontal="left" vertical="center"/>
    </xf>
    <xf numFmtId="2" fontId="12" fillId="11" borderId="8" xfId="0" applyNumberFormat="1" applyFont="1" applyFill="1" applyBorder="1" applyAlignment="1">
      <alignment horizontal="center" vertical="center"/>
    </xf>
    <xf numFmtId="2" fontId="12" fillId="11" borderId="40" xfId="0" applyNumberFormat="1" applyFont="1" applyFill="1" applyBorder="1" applyAlignment="1">
      <alignment horizontal="center" vertical="center"/>
    </xf>
    <xf numFmtId="2" fontId="12" fillId="11" borderId="9" xfId="0" applyNumberFormat="1" applyFont="1" applyFill="1" applyBorder="1" applyAlignment="1">
      <alignment horizontal="center" vertical="center"/>
    </xf>
    <xf numFmtId="2" fontId="12" fillId="12" borderId="12" xfId="0" applyNumberFormat="1" applyFont="1" applyFill="1" applyBorder="1" applyAlignment="1">
      <alignment horizontal="center" vertical="center"/>
    </xf>
    <xf numFmtId="0" fontId="8" fillId="0" borderId="0" xfId="0" applyFont="1" applyAlignment="1">
      <alignment horizontal="center" vertical="center"/>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0" xfId="0" applyFill="1" applyAlignment="1">
      <alignment horizontal="center"/>
    </xf>
    <xf numFmtId="0" fontId="0" fillId="0" borderId="0" xfId="0" applyFill="1" applyBorder="1" applyAlignment="1">
      <alignment horizontal="center"/>
    </xf>
    <xf numFmtId="0" fontId="0" fillId="0" borderId="2" xfId="0" applyBorder="1" applyAlignment="1">
      <alignment horizontal="left" vertical="center" wrapText="1"/>
    </xf>
    <xf numFmtId="0" fontId="0" fillId="0" borderId="0" xfId="0" applyBorder="1" applyAlignment="1">
      <alignment horizontal="left" vertical="center" wrapText="1"/>
    </xf>
    <xf numFmtId="0" fontId="0" fillId="0" borderId="22" xfId="0" applyBorder="1" applyAlignment="1">
      <alignment horizontal="center"/>
    </xf>
    <xf numFmtId="0" fontId="0" fillId="0" borderId="21" xfId="0" applyBorder="1" applyAlignment="1">
      <alignment horizontal="center"/>
    </xf>
    <xf numFmtId="0" fontId="0" fillId="0" borderId="41" xfId="0" applyBorder="1" applyAlignment="1">
      <alignment horizontal="center"/>
    </xf>
    <xf numFmtId="0" fontId="12" fillId="0" borderId="8" xfId="0" applyFont="1" applyBorder="1" applyAlignment="1">
      <alignment horizontal="center" vertical="center"/>
    </xf>
    <xf numFmtId="0" fontId="12" fillId="0" borderId="40" xfId="0" applyFont="1" applyBorder="1" applyAlignment="1">
      <alignment horizontal="center" vertical="center"/>
    </xf>
    <xf numFmtId="0" fontId="12" fillId="0" borderId="9" xfId="0" applyFont="1" applyBorder="1" applyAlignment="1">
      <alignment horizontal="center" vertical="center"/>
    </xf>
    <xf numFmtId="0" fontId="12" fillId="0" borderId="7" xfId="0" applyFont="1" applyBorder="1" applyAlignment="1">
      <alignment horizontal="center" vertical="center"/>
    </xf>
    <xf numFmtId="0" fontId="13" fillId="0" borderId="12" xfId="0" applyFont="1" applyBorder="1" applyAlignment="1">
      <alignment horizontal="center"/>
    </xf>
    <xf numFmtId="2" fontId="12" fillId="0" borderId="8" xfId="0" applyNumberFormat="1" applyFont="1" applyBorder="1" applyAlignment="1">
      <alignment horizontal="center" vertical="center"/>
    </xf>
    <xf numFmtId="2" fontId="12" fillId="0" borderId="9" xfId="0" applyNumberFormat="1" applyFont="1" applyBorder="1" applyAlignment="1">
      <alignment horizontal="center" vertical="center"/>
    </xf>
    <xf numFmtId="2" fontId="12" fillId="8" borderId="7" xfId="0" applyNumberFormat="1" applyFont="1" applyFill="1" applyBorder="1" applyAlignment="1" applyProtection="1">
      <alignment horizontal="center" vertical="center"/>
    </xf>
    <xf numFmtId="2" fontId="12" fillId="8" borderId="12" xfId="0" applyNumberFormat="1" applyFont="1" applyFill="1" applyBorder="1" applyAlignment="1" applyProtection="1">
      <alignment horizontal="center" vertical="center"/>
    </xf>
    <xf numFmtId="0" fontId="12" fillId="0" borderId="7" xfId="0" applyFont="1" applyBorder="1" applyAlignment="1" applyProtection="1">
      <alignment horizontal="center" vertical="center"/>
    </xf>
    <xf numFmtId="2" fontId="12" fillId="0" borderId="7" xfId="0" applyNumberFormat="1" applyFont="1" applyBorder="1" applyAlignment="1" applyProtection="1">
      <alignment horizontal="center" vertical="center"/>
    </xf>
    <xf numFmtId="2" fontId="12" fillId="8" borderId="8" xfId="0" applyNumberFormat="1" applyFont="1" applyFill="1" applyBorder="1" applyAlignment="1" applyProtection="1">
      <alignment horizontal="center" vertical="center"/>
    </xf>
    <xf numFmtId="2" fontId="12" fillId="8" borderId="40" xfId="0" applyNumberFormat="1" applyFont="1" applyFill="1" applyBorder="1" applyAlignment="1" applyProtection="1">
      <alignment horizontal="center" vertical="center"/>
    </xf>
    <xf numFmtId="2" fontId="12" fillId="8" borderId="9" xfId="0" applyNumberFormat="1" applyFont="1" applyFill="1" applyBorder="1" applyAlignment="1" applyProtection="1">
      <alignment horizontal="center" vertical="center"/>
    </xf>
    <xf numFmtId="2" fontId="12" fillId="9" borderId="8" xfId="0" applyNumberFormat="1" applyFont="1" applyFill="1" applyBorder="1" applyAlignment="1" applyProtection="1">
      <alignment horizontal="center" vertical="center"/>
    </xf>
    <xf numFmtId="2" fontId="12" fillId="9" borderId="40" xfId="0" applyNumberFormat="1" applyFont="1" applyFill="1" applyBorder="1" applyAlignment="1" applyProtection="1">
      <alignment horizontal="center" vertical="center"/>
    </xf>
    <xf numFmtId="2" fontId="12" fillId="9" borderId="9" xfId="0" applyNumberFormat="1" applyFont="1" applyFill="1" applyBorder="1" applyAlignment="1" applyProtection="1">
      <alignment horizontal="center" vertical="center"/>
    </xf>
    <xf numFmtId="2" fontId="12" fillId="0" borderId="8" xfId="0" applyNumberFormat="1" applyFont="1" applyBorder="1" applyAlignment="1" applyProtection="1">
      <alignment horizontal="center" vertical="center"/>
    </xf>
    <xf numFmtId="2" fontId="12" fillId="0" borderId="9" xfId="0" applyNumberFormat="1" applyFont="1" applyBorder="1" applyAlignment="1" applyProtection="1">
      <alignment horizontal="center" vertical="center"/>
    </xf>
    <xf numFmtId="2" fontId="12" fillId="10" borderId="12" xfId="0" applyNumberFormat="1" applyFont="1" applyFill="1" applyBorder="1" applyAlignment="1" applyProtection="1">
      <alignment horizontal="center" vertical="center"/>
    </xf>
    <xf numFmtId="2" fontId="12" fillId="10" borderId="7" xfId="0" applyNumberFormat="1" applyFont="1" applyFill="1" applyBorder="1" applyAlignment="1" applyProtection="1">
      <alignment horizontal="center" vertical="center"/>
    </xf>
    <xf numFmtId="2" fontId="12" fillId="10" borderId="40" xfId="0" applyNumberFormat="1" applyFont="1" applyFill="1" applyBorder="1" applyAlignment="1" applyProtection="1">
      <alignment horizontal="center" vertical="center"/>
    </xf>
    <xf numFmtId="2" fontId="12" fillId="10" borderId="8" xfId="0" applyNumberFormat="1" applyFont="1" applyFill="1" applyBorder="1" applyAlignment="1" applyProtection="1">
      <alignment horizontal="center" vertical="center"/>
    </xf>
    <xf numFmtId="2" fontId="12" fillId="10" borderId="9" xfId="0" applyNumberFormat="1" applyFont="1" applyFill="1" applyBorder="1" applyAlignment="1" applyProtection="1">
      <alignment horizontal="center" vertical="center"/>
    </xf>
    <xf numFmtId="2" fontId="12" fillId="10" borderId="21" xfId="0" applyNumberFormat="1" applyFont="1" applyFill="1" applyBorder="1" applyAlignment="1" applyProtection="1">
      <alignment horizontal="center" vertical="center"/>
    </xf>
    <xf numFmtId="2" fontId="12" fillId="10" borderId="33" xfId="0" applyNumberFormat="1" applyFont="1" applyFill="1" applyBorder="1" applyAlignment="1" applyProtection="1">
      <alignment horizontal="center" vertical="center"/>
    </xf>
    <xf numFmtId="2" fontId="12" fillId="10" borderId="39" xfId="0" applyNumberFormat="1" applyFont="1" applyFill="1" applyBorder="1" applyAlignment="1" applyProtection="1">
      <alignment horizontal="center" vertical="center"/>
    </xf>
    <xf numFmtId="2" fontId="12" fillId="11" borderId="8" xfId="0" applyNumberFormat="1" applyFont="1" applyFill="1" applyBorder="1" applyAlignment="1" applyProtection="1">
      <alignment horizontal="center" vertical="center"/>
    </xf>
    <xf numFmtId="2" fontId="12" fillId="11" borderId="40" xfId="0" applyNumberFormat="1" applyFont="1" applyFill="1" applyBorder="1" applyAlignment="1" applyProtection="1">
      <alignment horizontal="center" vertical="center"/>
    </xf>
    <xf numFmtId="2" fontId="12" fillId="11" borderId="9" xfId="0" applyNumberFormat="1" applyFont="1" applyFill="1" applyBorder="1" applyAlignment="1" applyProtection="1">
      <alignment horizontal="center" vertical="center"/>
    </xf>
    <xf numFmtId="0" fontId="12" fillId="0" borderId="8" xfId="0" applyFont="1" applyBorder="1" applyAlignment="1" applyProtection="1">
      <alignment horizontal="center" vertical="center"/>
    </xf>
    <xf numFmtId="0" fontId="12" fillId="0" borderId="40" xfId="0" applyFont="1" applyBorder="1" applyAlignment="1" applyProtection="1">
      <alignment horizontal="center" vertical="center"/>
    </xf>
    <xf numFmtId="0" fontId="12" fillId="0" borderId="9" xfId="0" applyFont="1" applyBorder="1" applyAlignment="1" applyProtection="1">
      <alignment horizontal="center" vertical="center"/>
    </xf>
    <xf numFmtId="2" fontId="12" fillId="12" borderId="12" xfId="0" applyNumberFormat="1" applyFont="1" applyFill="1" applyBorder="1" applyAlignment="1" applyProtection="1">
      <alignment horizontal="center" vertical="center"/>
    </xf>
    <xf numFmtId="2" fontId="12" fillId="12" borderId="7" xfId="0" applyNumberFormat="1" applyFont="1" applyFill="1" applyBorder="1" applyAlignment="1" applyProtection="1">
      <alignment horizontal="center" vertical="center"/>
    </xf>
    <xf numFmtId="2" fontId="12" fillId="12" borderId="21" xfId="0" applyNumberFormat="1" applyFont="1" applyFill="1" applyBorder="1" applyAlignment="1" applyProtection="1">
      <alignment horizontal="center" vertical="center"/>
    </xf>
    <xf numFmtId="2" fontId="12" fillId="12" borderId="39" xfId="0" applyNumberFormat="1" applyFont="1" applyFill="1" applyBorder="1" applyAlignment="1" applyProtection="1">
      <alignment horizontal="center" vertical="center"/>
    </xf>
    <xf numFmtId="0" fontId="10" fillId="0" borderId="7" xfId="0" applyFont="1" applyBorder="1" applyAlignment="1">
      <alignment horizontal="center"/>
    </xf>
    <xf numFmtId="0" fontId="16" fillId="12" borderId="7" xfId="0" applyFont="1" applyFill="1" applyBorder="1" applyAlignment="1">
      <alignment horizontal="center" vertical="center"/>
    </xf>
    <xf numFmtId="0" fontId="16" fillId="10" borderId="7" xfId="0" applyFont="1" applyFill="1" applyBorder="1" applyAlignment="1">
      <alignment horizontal="center" vertical="center"/>
    </xf>
    <xf numFmtId="0" fontId="16" fillId="11" borderId="7" xfId="0" applyFont="1" applyFill="1" applyBorder="1" applyAlignment="1">
      <alignment horizontal="center" vertical="center"/>
    </xf>
    <xf numFmtId="0" fontId="10" fillId="16" borderId="8" xfId="0" applyFont="1" applyFill="1" applyBorder="1" applyAlignment="1">
      <alignment horizontal="center" vertical="center"/>
    </xf>
    <xf numFmtId="0" fontId="10" fillId="16" borderId="9" xfId="0" applyFont="1" applyFill="1" applyBorder="1" applyAlignment="1">
      <alignment horizontal="center" vertical="center"/>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16" borderId="8" xfId="0" applyFont="1" applyFill="1" applyBorder="1" applyAlignment="1">
      <alignment horizontal="center" vertical="center" wrapText="1"/>
    </xf>
    <xf numFmtId="0" fontId="10" fillId="16" borderId="9" xfId="0" applyFont="1" applyFill="1" applyBorder="1" applyAlignment="1">
      <alignment horizontal="center" vertical="center" wrapText="1"/>
    </xf>
    <xf numFmtId="0" fontId="10" fillId="0" borderId="22" xfId="0" applyFont="1" applyBorder="1" applyAlignment="1">
      <alignment horizontal="center" vertical="center"/>
    </xf>
    <xf numFmtId="0" fontId="10" fillId="0" borderId="21" xfId="0" applyFont="1" applyBorder="1" applyAlignment="1">
      <alignment horizontal="center" vertical="center"/>
    </xf>
    <xf numFmtId="0" fontId="10" fillId="0" borderId="38" xfId="0" applyFont="1" applyBorder="1" applyAlignment="1">
      <alignment horizontal="center" vertical="center"/>
    </xf>
    <xf numFmtId="0" fontId="10" fillId="0" borderId="39" xfId="0" applyFont="1" applyBorder="1" applyAlignment="1">
      <alignment horizontal="center" vertical="center"/>
    </xf>
  </cellXfs>
  <cellStyles count="4">
    <cellStyle name="40% - Accent1" xfId="3" builtinId="31"/>
    <cellStyle name="Normal" xfId="0" builtinId="0"/>
    <cellStyle name="Normal 2" xfId="1"/>
    <cellStyle name="Percent" xfId="2" builtinId="5"/>
  </cellStyles>
  <dxfs count="1738">
    <dxf>
      <fill>
        <patternFill>
          <bgColor rgb="FF00B050"/>
        </patternFill>
      </fill>
    </dxf>
    <dxf>
      <font>
        <strike val="0"/>
        <color auto="1"/>
      </font>
      <fill>
        <patternFill patternType="solid">
          <bgColor rgb="FFFF0000"/>
        </patternFill>
      </fill>
    </dxf>
    <dxf>
      <fill>
        <patternFill>
          <bgColor rgb="FFFFFF00"/>
        </patternFill>
      </fill>
    </dxf>
    <dxf>
      <font>
        <color theme="0"/>
      </font>
    </dxf>
    <dxf>
      <font>
        <color theme="0"/>
      </font>
    </dxf>
    <dxf>
      <font>
        <color theme="0"/>
      </font>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ont>
        <color auto="1"/>
      </font>
      <fill>
        <patternFill>
          <bgColor rgb="FF00B050"/>
        </patternFill>
      </fill>
    </dxf>
    <dxf>
      <fill>
        <patternFill>
          <bgColor rgb="FFFFFF00"/>
        </patternFill>
      </fill>
    </dxf>
    <dxf>
      <fill>
        <patternFill>
          <bgColor rgb="FFFF00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ont>
        <color auto="1"/>
      </font>
      <fill>
        <patternFill>
          <bgColor rgb="FF00B050"/>
        </patternFill>
      </fill>
    </dxf>
    <dxf>
      <fill>
        <patternFill>
          <bgColor rgb="FFFFFF00"/>
        </patternFill>
      </fill>
    </dxf>
    <dxf>
      <fill>
        <patternFill>
          <bgColor rgb="FFFF00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theme="0" tint="-0.24994659260841701"/>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ont>
        <color auto="1"/>
      </font>
      <fill>
        <patternFill>
          <bgColor rgb="FF00B050"/>
        </patternFill>
      </fill>
    </dxf>
    <dxf>
      <fill>
        <patternFill>
          <bgColor rgb="FFFFFF00"/>
        </patternFill>
      </fill>
    </dxf>
    <dxf>
      <fill>
        <patternFill>
          <bgColor rgb="FFFF00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
      <fill>
        <patternFill>
          <bgColor rgb="FF00B050"/>
        </patternFill>
      </fill>
    </dxf>
    <dxf>
      <font>
        <strike val="0"/>
        <color auto="1"/>
      </font>
      <fill>
        <patternFill patternType="solid">
          <bgColor rgb="FFFF00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2" Type="http://schemas.microsoft.com/office/2011/relationships/chartColorStyle" Target="colors61.xml"/><Relationship Id="rId1" Type="http://schemas.microsoft.com/office/2011/relationships/chartStyle" Target="style61.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Bank Height Ratio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BHR</c:v>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0293794201700399"/>
                  <c:y val="-0.5334547118159906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Standards'!$K$10:$P$10</c:f>
              <c:numCache>
                <c:formatCode>General</c:formatCode>
                <c:ptCount val="6"/>
                <c:pt idx="1">
                  <c:v>1.6</c:v>
                </c:pt>
                <c:pt idx="2">
                  <c:v>1.5</c:v>
                </c:pt>
                <c:pt idx="4">
                  <c:v>1.2</c:v>
                </c:pt>
                <c:pt idx="5">
                  <c:v>1</c:v>
                </c:pt>
              </c:numCache>
            </c:numRef>
          </c:xVal>
          <c:yVal>
            <c:numRef>
              <c:f>'Reference Standards'!$K$11:$P$11</c:f>
              <c:numCache>
                <c:formatCode>General</c:formatCode>
                <c:ptCount val="6"/>
                <c:pt idx="0">
                  <c:v>0</c:v>
                </c:pt>
                <c:pt idx="1">
                  <c:v>0.2</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C266-4796-88E9-230BE821F3E6}"/>
            </c:ext>
          </c:extLst>
        </c:ser>
        <c:ser>
          <c:idx val="1"/>
          <c:order val="1"/>
          <c:spPr>
            <a:ln w="25400" cap="rnd">
              <a:solidFill>
                <a:srgbClr val="FF0000"/>
              </a:solidFill>
              <a:round/>
            </a:ln>
            <a:effectLst/>
          </c:spPr>
          <c:marker>
            <c:symbol val="none"/>
          </c:marker>
          <c:xVal>
            <c:numLit>
              <c:formatCode>General</c:formatCode>
              <c:ptCount val="2"/>
              <c:pt idx="0">
                <c:v>1.61</c:v>
              </c:pt>
              <c:pt idx="1">
                <c:v>1.8</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1-42DB-4A1D-8764-4AC5BCCDC40D}"/>
            </c:ext>
          </c:extLst>
        </c:ser>
        <c:dLbls>
          <c:showLegendKey val="0"/>
          <c:showVal val="0"/>
          <c:showCatName val="0"/>
          <c:showSerName val="0"/>
          <c:showPercent val="0"/>
          <c:showBubbleSize val="0"/>
        </c:dLbls>
        <c:axId val="304405432"/>
        <c:axId val="304405040"/>
      </c:scatterChart>
      <c:valAx>
        <c:axId val="304405432"/>
        <c:scaling>
          <c:orientation val="minMax"/>
          <c:max val="1.8"/>
          <c:min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4405040"/>
        <c:crosses val="autoZero"/>
        <c:crossBetween val="midCat"/>
      </c:valAx>
      <c:valAx>
        <c:axId val="304405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44054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Pool Depth Ratio </a:t>
            </a:r>
            <a:r>
              <a:rPr lang="en-US" sz="1400" b="0" i="0" u="none" strike="noStrike" baseline="0">
                <a:effectLst/>
              </a:rPr>
              <a:t>for B4 and B4c Streams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28678727677494703"/>
                  <c:y val="7.9907345829998755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Standards'!$S$485:$X$485</c:f>
              <c:numCache>
                <c:formatCode>General</c:formatCode>
                <c:ptCount val="6"/>
                <c:pt idx="0" formatCode="0.00">
                  <c:v>1.21</c:v>
                </c:pt>
                <c:pt idx="2">
                  <c:v>1.5</c:v>
                </c:pt>
                <c:pt idx="4">
                  <c:v>2</c:v>
                </c:pt>
                <c:pt idx="5" formatCode="0.00">
                  <c:v>2.8</c:v>
                </c:pt>
              </c:numCache>
            </c:numRef>
          </c:xVal>
          <c:yVal>
            <c:numRef>
              <c:f>'Reference Standards'!$S$486:$X$486</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0685-4A88-A253-CC374FDFCA12}"/>
            </c:ext>
          </c:extLst>
        </c:ser>
        <c:dLbls>
          <c:showLegendKey val="0"/>
          <c:showVal val="0"/>
          <c:showCatName val="0"/>
          <c:showSerName val="0"/>
          <c:showPercent val="0"/>
          <c:showBubbleSize val="0"/>
        </c:dLbls>
        <c:axId val="373628256"/>
        <c:axId val="374703856"/>
      </c:scatterChart>
      <c:valAx>
        <c:axId val="373628256"/>
        <c:scaling>
          <c:orientation val="minMax"/>
          <c:min val="1"/>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3856"/>
        <c:crosses val="autoZero"/>
        <c:crossBetween val="midCat"/>
      </c:valAx>
      <c:valAx>
        <c:axId val="374703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28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Sinuosity</a:t>
            </a:r>
            <a:r>
              <a:rPr lang="en-US" baseline="0"/>
              <a:t> for E5 S</a:t>
            </a:r>
            <a:r>
              <a:rPr lang="en-US"/>
              <a:t>treams in Unconfined Alluvial Valleys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none"/>
          </c:marker>
          <c:trendline>
            <c:spPr>
              <a:ln w="19050" cap="rnd">
                <a:solidFill>
                  <a:schemeClr val="accent1"/>
                </a:solidFill>
                <a:prstDash val="sysDot"/>
              </a:ln>
              <a:effectLst/>
            </c:spPr>
            <c:trendlineType val="poly"/>
            <c:order val="2"/>
            <c:dispRSqr val="0"/>
            <c:dispEq val="1"/>
            <c:trendlineLbl>
              <c:layout>
                <c:manualLayout>
                  <c:x val="-4.0337968870561E-2"/>
                  <c:y val="0.1039860343322665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Standards'!$S$655:$X$655</c:f>
              <c:numCache>
                <c:formatCode>General</c:formatCode>
                <c:ptCount val="6"/>
                <c:pt idx="5">
                  <c:v>1.3</c:v>
                </c:pt>
              </c:numCache>
            </c:numRef>
          </c:xVal>
          <c:yVal>
            <c:numRef>
              <c:f>'Reference Standards'!$S$657:$X$657</c:f>
              <c:numCache>
                <c:formatCode>General</c:formatCode>
                <c:ptCount val="6"/>
                <c:pt idx="0">
                  <c:v>0</c:v>
                </c:pt>
                <c:pt idx="1">
                  <c:v>0.2</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0224-4D2B-89F3-7EEE960BF694}"/>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10606278817797286"/>
                  <c:y val="-0.2662562886223786"/>
                </c:manualLayout>
              </c:layout>
              <c:numFmt formatCode="#,##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Standards'!$S$656:$W$656</c:f>
              <c:numCache>
                <c:formatCode>General</c:formatCode>
                <c:ptCount val="5"/>
                <c:pt idx="2">
                  <c:v>1.8</c:v>
                </c:pt>
                <c:pt idx="3">
                  <c:v>1.61</c:v>
                </c:pt>
              </c:numCache>
            </c:numRef>
          </c:xVal>
          <c:yVal>
            <c:numRef>
              <c:f>'Reference Standards'!$S$657:$W$657</c:f>
              <c:numCache>
                <c:formatCode>General</c:formatCode>
                <c:ptCount val="5"/>
                <c:pt idx="0">
                  <c:v>0</c:v>
                </c:pt>
                <c:pt idx="1">
                  <c:v>0.2</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0224-4D2B-89F3-7EEE960BF694}"/>
            </c:ext>
          </c:extLst>
        </c:ser>
        <c:ser>
          <c:idx val="3"/>
          <c:order val="2"/>
          <c:tx>
            <c:v>Floor Left</c:v>
          </c:tx>
          <c:spPr>
            <a:ln w="25400" cap="rnd">
              <a:solidFill>
                <a:srgbClr val="FF0000"/>
              </a:solidFill>
              <a:round/>
            </a:ln>
            <a:effectLst/>
          </c:spPr>
          <c:marker>
            <c:symbol val="none"/>
          </c:marker>
          <c:xVal>
            <c:numLit>
              <c:formatCode>General</c:formatCode>
              <c:ptCount val="2"/>
              <c:pt idx="0">
                <c:v>1</c:v>
              </c:pt>
              <c:pt idx="1">
                <c:v>1.29</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3-A748-4E35-B9A2-7F4451F49275}"/>
            </c:ext>
          </c:extLst>
        </c:ser>
        <c:ser>
          <c:idx val="4"/>
          <c:order val="3"/>
          <c:tx>
            <c:v>Floor Right</c:v>
          </c:tx>
          <c:spPr>
            <a:ln w="31750" cap="rnd">
              <a:solidFill>
                <a:srgbClr val="FF0000"/>
              </a:solidFill>
              <a:round/>
            </a:ln>
            <a:effectLst/>
          </c:spPr>
          <c:marker>
            <c:symbol val="none"/>
          </c:marker>
          <c:xVal>
            <c:numLit>
              <c:formatCode>General</c:formatCode>
              <c:ptCount val="2"/>
              <c:pt idx="0">
                <c:v>1.8</c:v>
              </c:pt>
              <c:pt idx="1">
                <c:v>2</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4-A748-4E35-B9A2-7F4451F49275}"/>
            </c:ext>
          </c:extLst>
        </c:ser>
        <c:ser>
          <c:idx val="2"/>
          <c:order val="4"/>
          <c:tx>
            <c:v>Crest</c:v>
          </c:tx>
          <c:spPr>
            <a:ln w="25400" cap="rnd">
              <a:solidFill>
                <a:srgbClr val="FF0000"/>
              </a:solidFill>
              <a:round/>
            </a:ln>
            <a:effectLst/>
          </c:spPr>
          <c:marker>
            <c:symbol val="none"/>
          </c:marker>
          <c:xVal>
            <c:numRef>
              <c:f>('Reference Standards'!$X$655,'Reference Standards'!$X$656)</c:f>
              <c:numCache>
                <c:formatCode>General</c:formatCode>
                <c:ptCount val="2"/>
                <c:pt idx="0">
                  <c:v>1.3</c:v>
                </c:pt>
                <c:pt idx="1">
                  <c:v>1.6</c:v>
                </c:pt>
              </c:numCache>
            </c:numRef>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3-BA97-412E-9F11-BA31ACF154DC}"/>
            </c:ext>
          </c:extLst>
        </c:ser>
        <c:dLbls>
          <c:showLegendKey val="0"/>
          <c:showVal val="0"/>
          <c:showCatName val="0"/>
          <c:showSerName val="0"/>
          <c:showPercent val="0"/>
          <c:showBubbleSize val="0"/>
        </c:dLbls>
        <c:axId val="374707384"/>
        <c:axId val="374704248"/>
      </c:scatterChart>
      <c:valAx>
        <c:axId val="374707384"/>
        <c:scaling>
          <c:orientation val="minMax"/>
          <c:max val="2"/>
          <c:min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4248"/>
        <c:crosses val="autoZero"/>
        <c:crossBetween val="midCat"/>
      </c:valAx>
      <c:valAx>
        <c:axId val="37470424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73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Riffle for E4 and E5 Streams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4.6186872165866442E-2"/>
                  <c:y val="0.2748030592154425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Standards'!$S$519:$X$519</c:f>
              <c:numCache>
                <c:formatCode>General</c:formatCode>
                <c:ptCount val="6"/>
                <c:pt idx="4">
                  <c:v>20</c:v>
                </c:pt>
                <c:pt idx="5">
                  <c:v>25</c:v>
                </c:pt>
              </c:numCache>
            </c:numRef>
          </c:xVal>
          <c:yVal>
            <c:numRef>
              <c:f>'Reference Standards'!$S$521:$X$521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33CC-400E-91D8-8DB0C3E7DC9D}"/>
            </c:ext>
          </c:extLst>
        </c:ser>
        <c:ser>
          <c:idx val="1"/>
          <c:order val="1"/>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12772406566577041"/>
                  <c:y val="-0.20952242055283726"/>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Standards'!$S$520:$X$520</c:f>
              <c:numCache>
                <c:formatCode>General</c:formatCode>
                <c:ptCount val="6"/>
                <c:pt idx="0" formatCode="0">
                  <c:v>74.3</c:v>
                </c:pt>
                <c:pt idx="2">
                  <c:v>65</c:v>
                </c:pt>
                <c:pt idx="4">
                  <c:v>50</c:v>
                </c:pt>
                <c:pt idx="5">
                  <c:v>35</c:v>
                </c:pt>
              </c:numCache>
            </c:numRef>
          </c:xVal>
          <c:yVal>
            <c:numRef>
              <c:f>'Reference Standards'!$S$521:$X$521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33CC-400E-91D8-8DB0C3E7DC9D}"/>
            </c:ext>
          </c:extLst>
        </c:ser>
        <c:ser>
          <c:idx val="2"/>
          <c:order val="2"/>
          <c:tx>
            <c:v>Crest</c:v>
          </c:tx>
          <c:spPr>
            <a:ln w="25400" cap="rnd">
              <a:solidFill>
                <a:srgbClr val="FF0000"/>
              </a:solidFill>
              <a:round/>
            </a:ln>
            <a:effectLst/>
          </c:spPr>
          <c:marker>
            <c:symbol val="none"/>
          </c:marker>
          <c:xVal>
            <c:numRef>
              <c:f>('Reference Standards'!$X$519,'Reference Standards'!$X$520)</c:f>
              <c:numCache>
                <c:formatCode>General</c:formatCode>
                <c:ptCount val="2"/>
                <c:pt idx="0">
                  <c:v>25</c:v>
                </c:pt>
                <c:pt idx="1">
                  <c:v>35</c:v>
                </c:pt>
              </c:numCache>
            </c:numRef>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0-FA7A-475D-A63F-B00735B9BBEC}"/>
            </c:ext>
          </c:extLst>
        </c:ser>
        <c:ser>
          <c:idx val="3"/>
          <c:order val="3"/>
          <c:tx>
            <c:v>Floor</c:v>
          </c:tx>
          <c:spPr>
            <a:ln w="25400" cap="rnd">
              <a:solidFill>
                <a:srgbClr val="FF0000"/>
              </a:solidFill>
              <a:round/>
            </a:ln>
            <a:effectLst/>
          </c:spPr>
          <c:marker>
            <c:symbol val="none"/>
          </c:marker>
          <c:xVal>
            <c:numLit>
              <c:formatCode>General</c:formatCode>
              <c:ptCount val="2"/>
              <c:pt idx="0">
                <c:v>0</c:v>
              </c:pt>
              <c:pt idx="1">
                <c:v>19</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3-4E6F-41B8-A90B-7285DA4C7586}"/>
            </c:ext>
          </c:extLst>
        </c:ser>
        <c:dLbls>
          <c:showLegendKey val="0"/>
          <c:showVal val="0"/>
          <c:showCatName val="0"/>
          <c:showSerName val="0"/>
          <c:showPercent val="0"/>
          <c:showBubbleSize val="0"/>
        </c:dLbls>
        <c:axId val="374708952"/>
        <c:axId val="374709344"/>
      </c:scatterChart>
      <c:valAx>
        <c:axId val="37470895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9344"/>
        <c:crosses val="autoZero"/>
        <c:crossBetween val="midCat"/>
      </c:valAx>
      <c:valAx>
        <c:axId val="374709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895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Riffle for B, C and E Streams &lt; 3% slope and Percent Riffle &gt;=60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52456070937341359"/>
                  <c:y val="-0.1776675096258496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'Performance Stds'!#REF!</c:f>
            </c:numRef>
          </c:xVal>
          <c:yVal>
            <c:numRef>
              <c:f>'Performance Stds'!#REF!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0-1CCE-4783-8506-AA46E4409ADE}"/>
            </c:ext>
          </c:extLst>
        </c:ser>
        <c:dLbls>
          <c:showLegendKey val="0"/>
          <c:showVal val="0"/>
          <c:showCatName val="0"/>
          <c:showSerName val="0"/>
          <c:showPercent val="0"/>
          <c:showBubbleSize val="0"/>
        </c:dLbls>
        <c:axId val="374705032"/>
        <c:axId val="374709736"/>
      </c:scatterChart>
      <c:valAx>
        <c:axId val="374705032"/>
        <c:scaling>
          <c:orientation val="minMax"/>
          <c:min val="7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9736"/>
        <c:crosses val="autoZero"/>
        <c:crossBetween val="midCat"/>
      </c:valAx>
      <c:valAx>
        <c:axId val="37470973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50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Riffle for C4 and C5 Streams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1873166093553039"/>
                  <c:y val="0.1536461362057191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Standards'!$S$554:$X$554</c:f>
              <c:numCache>
                <c:formatCode>General</c:formatCode>
                <c:ptCount val="6"/>
                <c:pt idx="0" formatCode="0">
                  <c:v>17.5</c:v>
                </c:pt>
                <c:pt idx="2">
                  <c:v>25</c:v>
                </c:pt>
                <c:pt idx="4">
                  <c:v>35</c:v>
                </c:pt>
                <c:pt idx="5" formatCode="0">
                  <c:v>42.5</c:v>
                </c:pt>
              </c:numCache>
            </c:numRef>
          </c:xVal>
          <c:yVal>
            <c:numRef>
              <c:f>'Reference Standards'!$S$556:$X$556</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FAAA-4519-8328-5CF476756B3D}"/>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3.4993059871889422E-2"/>
                  <c:y val="-7.2050779229307277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Standards'!$S$555:$X$555</c:f>
              <c:numCache>
                <c:formatCode>General</c:formatCode>
                <c:ptCount val="6"/>
                <c:pt idx="0" formatCode="0">
                  <c:v>63.749999999999993</c:v>
                </c:pt>
                <c:pt idx="2">
                  <c:v>60</c:v>
                </c:pt>
                <c:pt idx="4">
                  <c:v>55</c:v>
                </c:pt>
                <c:pt idx="5" formatCode="0">
                  <c:v>51.249999999999993</c:v>
                </c:pt>
              </c:numCache>
            </c:numRef>
          </c:xVal>
          <c:yVal>
            <c:numRef>
              <c:f>'Reference Standards'!$S$556:$X$556</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FAAA-4519-8328-5CF476756B3D}"/>
            </c:ext>
          </c:extLst>
        </c:ser>
        <c:ser>
          <c:idx val="4"/>
          <c:order val="2"/>
          <c:tx>
            <c:v>Crest</c:v>
          </c:tx>
          <c:spPr>
            <a:ln w="25400" cap="rnd">
              <a:solidFill>
                <a:srgbClr val="FF0000"/>
              </a:solidFill>
              <a:round/>
            </a:ln>
            <a:effectLst/>
          </c:spPr>
          <c:marker>
            <c:symbol val="none"/>
          </c:marker>
          <c:xVal>
            <c:numRef>
              <c:f>('Reference Standards'!$X$554,'Reference Standards'!$X$555)</c:f>
              <c:numCache>
                <c:formatCode>0</c:formatCode>
                <c:ptCount val="2"/>
                <c:pt idx="0">
                  <c:v>42.5</c:v>
                </c:pt>
                <c:pt idx="1">
                  <c:v>51.249999999999993</c:v>
                </c:pt>
              </c:numCache>
            </c:numRef>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0-A7A2-4FE8-9BB0-A3EA7C27BDD0}"/>
            </c:ext>
          </c:extLst>
        </c:ser>
        <c:dLbls>
          <c:showLegendKey val="0"/>
          <c:showVal val="0"/>
          <c:showCatName val="0"/>
          <c:showSerName val="0"/>
          <c:showPercent val="0"/>
          <c:showBubbleSize val="0"/>
        </c:dLbls>
        <c:axId val="374705424"/>
        <c:axId val="374702680"/>
      </c:scatterChart>
      <c:valAx>
        <c:axId val="37470542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2680"/>
        <c:crosses val="autoZero"/>
        <c:crossBetween val="midCat"/>
      </c:valAx>
      <c:valAx>
        <c:axId val="374702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54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Riffle for A</a:t>
            </a:r>
            <a:r>
              <a:rPr lang="en-US" baseline="0"/>
              <a:t> and B</a:t>
            </a:r>
            <a:r>
              <a:rPr lang="en-US"/>
              <a:t> Streams and Percent Riffle &gt;70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57622122197586678"/>
                  <c:y val="-7.639743340347382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'Performance Stds'!#REF!</c:f>
            </c:numRef>
          </c:xVal>
          <c:yVal>
            <c:numRef>
              <c:f>'Performance Stds'!#REF!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0-A234-4278-B36B-2D355F1EA40B}"/>
            </c:ext>
          </c:extLst>
        </c:ser>
        <c:dLbls>
          <c:showLegendKey val="0"/>
          <c:showVal val="0"/>
          <c:showCatName val="0"/>
          <c:showSerName val="0"/>
          <c:showPercent val="0"/>
          <c:showBubbleSize val="0"/>
        </c:dLbls>
        <c:axId val="374703072"/>
        <c:axId val="374705816"/>
      </c:scatterChart>
      <c:valAx>
        <c:axId val="374703072"/>
        <c:scaling>
          <c:orientation val="minMax"/>
          <c:min val="6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5816"/>
        <c:crosses val="autoZero"/>
        <c:crossBetween val="midCat"/>
      </c:valAx>
      <c:valAx>
        <c:axId val="37470581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30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Sinuosity</a:t>
            </a:r>
            <a:r>
              <a:rPr lang="en-US" baseline="0"/>
              <a:t> for Unconfined Alluvial Valleys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24117215398032724"/>
                  <c:y val="8.883419567705083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Standards'!$S$688:$W$688</c:f>
              <c:numCache>
                <c:formatCode>General</c:formatCode>
                <c:ptCount val="5"/>
              </c:numCache>
            </c:numRef>
          </c:xVal>
          <c:yVal>
            <c:numRef>
              <c:f>'Reference Standards'!$S$690:$W$690</c:f>
              <c:numCache>
                <c:formatCode>General</c:formatCode>
                <c:ptCount val="5"/>
                <c:pt idx="0">
                  <c:v>0</c:v>
                </c:pt>
                <c:pt idx="1">
                  <c:v>0.2</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4D02-4A2D-AE52-B72266B9C1B6}"/>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2463669678249886"/>
                  <c:y val="-0.2423974758562603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Standards'!$S$689:$W$689</c:f>
              <c:numCache>
                <c:formatCode>General</c:formatCode>
                <c:ptCount val="5"/>
                <c:pt idx="2">
                  <c:v>1.5</c:v>
                </c:pt>
                <c:pt idx="3">
                  <c:v>1.41</c:v>
                </c:pt>
              </c:numCache>
            </c:numRef>
          </c:xVal>
          <c:yVal>
            <c:numRef>
              <c:f>'Reference Standards'!$S$690:$W$690</c:f>
              <c:numCache>
                <c:formatCode>General</c:formatCode>
                <c:ptCount val="5"/>
                <c:pt idx="0">
                  <c:v>0</c:v>
                </c:pt>
                <c:pt idx="1">
                  <c:v>0.2</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4D02-4A2D-AE52-B72266B9C1B6}"/>
            </c:ext>
          </c:extLst>
        </c:ser>
        <c:ser>
          <c:idx val="2"/>
          <c:order val="2"/>
          <c:tx>
            <c:v>Floor Left</c:v>
          </c:tx>
          <c:spPr>
            <a:ln w="25400" cap="rnd">
              <a:solidFill>
                <a:srgbClr val="FF0000"/>
              </a:solidFill>
              <a:round/>
            </a:ln>
            <a:effectLst/>
          </c:spPr>
          <c:marker>
            <c:symbol val="none"/>
          </c:marker>
          <c:xVal>
            <c:numLit>
              <c:formatCode>General</c:formatCode>
              <c:ptCount val="2"/>
              <c:pt idx="0">
                <c:v>1</c:v>
              </c:pt>
              <c:pt idx="1">
                <c:v>1.2</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2-51A5-4CE1-A018-2A70F752C814}"/>
            </c:ext>
          </c:extLst>
        </c:ser>
        <c:ser>
          <c:idx val="3"/>
          <c:order val="3"/>
          <c:tx>
            <c:v>Floor Right</c:v>
          </c:tx>
          <c:spPr>
            <a:ln w="25400" cap="rnd">
              <a:solidFill>
                <a:srgbClr val="FF0000"/>
              </a:solidFill>
              <a:round/>
            </a:ln>
            <a:effectLst/>
          </c:spPr>
          <c:marker>
            <c:symbol val="none"/>
          </c:marker>
          <c:xVal>
            <c:numLit>
              <c:formatCode>General</c:formatCode>
              <c:ptCount val="2"/>
              <c:pt idx="0">
                <c:v>1.5</c:v>
              </c:pt>
              <c:pt idx="1">
                <c:v>1.6</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3-51A5-4CE1-A018-2A70F752C814}"/>
            </c:ext>
          </c:extLst>
        </c:ser>
        <c:ser>
          <c:idx val="4"/>
          <c:order val="4"/>
          <c:tx>
            <c:v>Crest</c:v>
          </c:tx>
          <c:spPr>
            <a:ln w="25400" cap="rnd">
              <a:solidFill>
                <a:srgbClr val="FF0000"/>
              </a:solidFill>
              <a:round/>
            </a:ln>
            <a:effectLst/>
          </c:spPr>
          <c:marker>
            <c:symbol val="none"/>
          </c:marker>
          <c:xVal>
            <c:numRef>
              <c:f>('Reference Standards'!$X$688,'Reference Standards'!$X$689)</c:f>
              <c:numCache>
                <c:formatCode>General</c:formatCode>
                <c:ptCount val="2"/>
                <c:pt idx="0">
                  <c:v>1.2</c:v>
                </c:pt>
                <c:pt idx="1">
                  <c:v>1.4</c:v>
                </c:pt>
              </c:numCache>
            </c:numRef>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2-4785-4B44-AC11-26A69B5FD853}"/>
            </c:ext>
          </c:extLst>
        </c:ser>
        <c:dLbls>
          <c:showLegendKey val="0"/>
          <c:showVal val="0"/>
          <c:showCatName val="0"/>
          <c:showSerName val="0"/>
          <c:showPercent val="0"/>
          <c:showBubbleSize val="0"/>
        </c:dLbls>
        <c:axId val="374706992"/>
        <c:axId val="374706208"/>
      </c:scatterChart>
      <c:valAx>
        <c:axId val="374706992"/>
        <c:scaling>
          <c:orientation val="minMax"/>
          <c:max val="1.6"/>
          <c:min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6208"/>
        <c:crosses val="autoZero"/>
        <c:crossBetween val="midCat"/>
      </c:valAx>
      <c:valAx>
        <c:axId val="3747062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47069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Riparian</a:t>
            </a:r>
            <a:r>
              <a:rPr lang="en-US" baseline="0"/>
              <a:t> Vegetation Stem Density</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23241249192675539"/>
                  <c:y val="9.2825934727743975E-2"/>
                </c:manualLayout>
              </c:layout>
              <c:numFmt formatCode="0.000000E+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Standards'!$S$249:$V$249</c:f>
              <c:numCache>
                <c:formatCode>General</c:formatCode>
                <c:ptCount val="4"/>
                <c:pt idx="0">
                  <c:v>0</c:v>
                </c:pt>
                <c:pt idx="3">
                  <c:v>300</c:v>
                </c:pt>
              </c:numCache>
            </c:numRef>
          </c:xVal>
          <c:yVal>
            <c:numRef>
              <c:f>'Reference Standards'!$S$250:$V$250</c:f>
              <c:numCache>
                <c:formatCode>General</c:formatCode>
                <c:ptCount val="4"/>
                <c:pt idx="0">
                  <c:v>0</c:v>
                </c:pt>
                <c:pt idx="1">
                  <c:v>0.28999999999999998</c:v>
                </c:pt>
                <c:pt idx="2">
                  <c:v>0.3</c:v>
                </c:pt>
                <c:pt idx="3">
                  <c:v>0.5</c:v>
                </c:pt>
              </c:numCache>
            </c:numRef>
          </c:yVal>
          <c:smooth val="0"/>
          <c:extLst xmlns:c16r2="http://schemas.microsoft.com/office/drawing/2015/06/chart">
            <c:ext xmlns:c16="http://schemas.microsoft.com/office/drawing/2014/chart" uri="{C3380CC4-5D6E-409C-BE32-E72D297353CC}">
              <c16:uniqueId val="{00000000-4D1B-4534-82B9-CBA282048D48}"/>
            </c:ext>
          </c:extLst>
        </c:ser>
        <c:ser>
          <c:idx val="1"/>
          <c:order val="1"/>
          <c:spPr>
            <a:ln w="25400" cap="rnd">
              <a:solidFill>
                <a:srgbClr val="FF0000"/>
              </a:solidFill>
              <a:round/>
            </a:ln>
            <a:effectLst/>
          </c:spPr>
          <c:marker>
            <c:symbol val="none"/>
          </c:marker>
          <c:xVal>
            <c:numLit>
              <c:formatCode>General</c:formatCode>
              <c:ptCount val="2"/>
              <c:pt idx="0">
                <c:v>300</c:v>
              </c:pt>
              <c:pt idx="1">
                <c:v>400</c:v>
              </c:pt>
            </c:numLit>
          </c:xVal>
          <c:yVal>
            <c:numLit>
              <c:formatCode>General</c:formatCode>
              <c:ptCount val="2"/>
              <c:pt idx="0">
                <c:v>0.5</c:v>
              </c:pt>
              <c:pt idx="1">
                <c:v>0.5</c:v>
              </c:pt>
            </c:numLit>
          </c:yVal>
          <c:smooth val="0"/>
          <c:extLst xmlns:c16r2="http://schemas.microsoft.com/office/drawing/2015/06/chart">
            <c:ext xmlns:c16="http://schemas.microsoft.com/office/drawing/2014/chart" uri="{C3380CC4-5D6E-409C-BE32-E72D297353CC}">
              <c16:uniqueId val="{00000001-1D91-48B6-902E-6845997B448D}"/>
            </c:ext>
          </c:extLst>
        </c:ser>
        <c:dLbls>
          <c:showLegendKey val="0"/>
          <c:showVal val="0"/>
          <c:showCatName val="0"/>
          <c:showSerName val="0"/>
          <c:showPercent val="0"/>
          <c:showBubbleSize val="0"/>
        </c:dLbls>
        <c:axId val="375701888"/>
        <c:axId val="375705416"/>
      </c:scatterChart>
      <c:valAx>
        <c:axId val="3757018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5416"/>
        <c:crosses val="autoZero"/>
        <c:crossBetween val="midCat"/>
      </c:valAx>
      <c:valAx>
        <c:axId val="375705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18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 Macroinvertebrate Index (TMI)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Standards'!$AL$15</c:f>
              <c:strCache>
                <c:ptCount val="1"/>
                <c:pt idx="0">
                  <c:v>Bioregion 73a or 73b - TMI &lt; 22</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8.376201504314143E-2"/>
                  <c:y val="0.1214358078300861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Standards'!$AL$10:$AN$10</c:f>
              <c:numCache>
                <c:formatCode>General</c:formatCode>
                <c:ptCount val="3"/>
                <c:pt idx="0">
                  <c:v>0</c:v>
                </c:pt>
                <c:pt idx="2" formatCode="0">
                  <c:v>22</c:v>
                </c:pt>
              </c:numCache>
            </c:numRef>
          </c:xVal>
          <c:yVal>
            <c:numRef>
              <c:f>'Reference Standards'!$AL$12:$AN$12</c:f>
              <c:numCache>
                <c:formatCode>General</c:formatCode>
                <c:ptCount val="3"/>
                <c:pt idx="0">
                  <c:v>0</c:v>
                </c:pt>
                <c:pt idx="1">
                  <c:v>0.28999999999999998</c:v>
                </c:pt>
                <c:pt idx="2">
                  <c:v>0.5</c:v>
                </c:pt>
              </c:numCache>
            </c:numRef>
          </c:yVal>
          <c:smooth val="0"/>
          <c:extLst xmlns:c16r2="http://schemas.microsoft.com/office/drawing/2015/06/chart">
            <c:ext xmlns:c16="http://schemas.microsoft.com/office/drawing/2014/chart" uri="{C3380CC4-5D6E-409C-BE32-E72D297353CC}">
              <c16:uniqueId val="{00000000-3C2B-4369-B12E-CEBB85132D7A}"/>
            </c:ext>
          </c:extLst>
        </c:ser>
        <c:ser>
          <c:idx val="1"/>
          <c:order val="1"/>
          <c:tx>
            <c:strRef>
              <c:f>'Reference Standards'!$AM$15</c:f>
              <c:strCache>
                <c:ptCount val="1"/>
                <c:pt idx="0">
                  <c:v>Bioregion 73a or 73b - TMI &gt;= 22</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3.5381966833199593E-2"/>
                  <c:y val="9.3747061589092615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Standards'!$AN$10:$AQ$10</c:f>
              <c:numCache>
                <c:formatCode>0</c:formatCode>
                <c:ptCount val="4"/>
                <c:pt idx="0">
                  <c:v>22</c:v>
                </c:pt>
                <c:pt idx="3" formatCode="General">
                  <c:v>30</c:v>
                </c:pt>
              </c:numCache>
            </c:numRef>
          </c:xVal>
          <c:yVal>
            <c:numRef>
              <c:f>'Reference Standards'!$AN$12:$AQ$12</c:f>
              <c:numCache>
                <c:formatCode>General</c:formatCode>
                <c:ptCount val="4"/>
                <c:pt idx="0">
                  <c:v>0.5</c:v>
                </c:pt>
                <c:pt idx="1">
                  <c:v>0.69</c:v>
                </c:pt>
                <c:pt idx="2">
                  <c:v>0.7</c:v>
                </c:pt>
                <c:pt idx="3">
                  <c:v>1</c:v>
                </c:pt>
              </c:numCache>
            </c:numRef>
          </c:yVal>
          <c:smooth val="0"/>
          <c:extLst xmlns:c16r2="http://schemas.microsoft.com/office/drawing/2015/06/chart">
            <c:ext xmlns:c16="http://schemas.microsoft.com/office/drawing/2014/chart" uri="{C3380CC4-5D6E-409C-BE32-E72D297353CC}">
              <c16:uniqueId val="{00000002-25A0-4F7D-81E5-965546FC5096}"/>
            </c:ext>
          </c:extLst>
        </c:ser>
        <c:ser>
          <c:idx val="2"/>
          <c:order val="2"/>
          <c:tx>
            <c:strRef>
              <c:f>'Reference Standards'!$AN$15</c:f>
              <c:strCache>
                <c:ptCount val="1"/>
                <c:pt idx="0">
                  <c:v>All other Bioregions - TMI &lt; 32</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1.0192666350311914E-2"/>
                  <c:y val="0.1865590143968252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Standards'!$AL$11:$AN$11</c:f>
              <c:numCache>
                <c:formatCode>General</c:formatCode>
                <c:ptCount val="3"/>
                <c:pt idx="0">
                  <c:v>0</c:v>
                </c:pt>
                <c:pt idx="2" formatCode="0">
                  <c:v>32</c:v>
                </c:pt>
              </c:numCache>
            </c:numRef>
          </c:xVal>
          <c:yVal>
            <c:numRef>
              <c:f>'Reference Standards'!$AL$12:$AN$12</c:f>
              <c:numCache>
                <c:formatCode>General</c:formatCode>
                <c:ptCount val="3"/>
                <c:pt idx="0">
                  <c:v>0</c:v>
                </c:pt>
                <c:pt idx="1">
                  <c:v>0.28999999999999998</c:v>
                </c:pt>
                <c:pt idx="2">
                  <c:v>0.5</c:v>
                </c:pt>
              </c:numCache>
            </c:numRef>
          </c:yVal>
          <c:smooth val="0"/>
          <c:extLst xmlns:c16r2="http://schemas.microsoft.com/office/drawing/2015/06/chart">
            <c:ext xmlns:c16="http://schemas.microsoft.com/office/drawing/2014/chart" uri="{C3380CC4-5D6E-409C-BE32-E72D297353CC}">
              <c16:uniqueId val="{00000003-CA0D-4AC1-BD3B-1AC98A7FE04E}"/>
            </c:ext>
          </c:extLst>
        </c:ser>
        <c:ser>
          <c:idx val="3"/>
          <c:order val="3"/>
          <c:tx>
            <c:strRef>
              <c:f>'Reference Standards'!$AO$15</c:f>
              <c:strCache>
                <c:ptCount val="1"/>
                <c:pt idx="0">
                  <c:v>All other Bioregions - TMI &gt;= 32</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0.10683878046819452"/>
                  <c:y val="0.1532988559786867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Standards'!$AN$11:$AQ$11</c:f>
              <c:numCache>
                <c:formatCode>0</c:formatCode>
                <c:ptCount val="4"/>
                <c:pt idx="0">
                  <c:v>32</c:v>
                </c:pt>
                <c:pt idx="3" formatCode="General">
                  <c:v>42</c:v>
                </c:pt>
              </c:numCache>
            </c:numRef>
          </c:xVal>
          <c:yVal>
            <c:numRef>
              <c:f>'Reference Standards'!$AN$12:$AQ$12</c:f>
              <c:numCache>
                <c:formatCode>General</c:formatCode>
                <c:ptCount val="4"/>
                <c:pt idx="0">
                  <c:v>0.5</c:v>
                </c:pt>
                <c:pt idx="1">
                  <c:v>0.69</c:v>
                </c:pt>
                <c:pt idx="2">
                  <c:v>0.7</c:v>
                </c:pt>
                <c:pt idx="3">
                  <c:v>1</c:v>
                </c:pt>
              </c:numCache>
            </c:numRef>
          </c:yVal>
          <c:smooth val="0"/>
          <c:extLst xmlns:c16r2="http://schemas.microsoft.com/office/drawing/2015/06/chart">
            <c:ext xmlns:c16="http://schemas.microsoft.com/office/drawing/2014/chart" uri="{C3380CC4-5D6E-409C-BE32-E72D297353CC}">
              <c16:uniqueId val="{00000004-CA0D-4AC1-BD3B-1AC98A7FE04E}"/>
            </c:ext>
          </c:extLst>
        </c:ser>
        <c:dLbls>
          <c:showLegendKey val="0"/>
          <c:showVal val="0"/>
          <c:showCatName val="0"/>
          <c:showSerName val="0"/>
          <c:showPercent val="0"/>
          <c:showBubbleSize val="0"/>
        </c:dLbls>
        <c:axId val="375700712"/>
        <c:axId val="375701496"/>
      </c:scatterChart>
      <c:valAx>
        <c:axId val="3757007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1496"/>
        <c:crosses val="autoZero"/>
        <c:crossBetween val="midCat"/>
      </c:valAx>
      <c:valAx>
        <c:axId val="375701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0712"/>
        <c:crosses val="autoZero"/>
        <c:crossBetween val="midCat"/>
      </c:valAx>
      <c:spPr>
        <a:noFill/>
        <a:ln>
          <a:noFill/>
        </a:ln>
        <a:effectLst/>
      </c:spPr>
    </c:plotArea>
    <c:legend>
      <c:legendPos val="r"/>
      <c:layout>
        <c:manualLayout>
          <c:xMode val="edge"/>
          <c:yMode val="edge"/>
          <c:x val="0.61991489952058076"/>
          <c:y val="0.18200760871040625"/>
          <c:w val="0.36807202798635996"/>
          <c:h val="0.5328348060864748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Clingers - Plot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Standards'!$AK$45</c:f>
              <c:strCache>
                <c:ptCount val="1"/>
                <c:pt idx="0">
                  <c:v>74b, DA &lt;= 2 sq.mi.</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30974570974753896"/>
                  <c:y val="-0.2156343884006668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Standards'!$AL$45:$AQ$45</c:f>
              <c:numCache>
                <c:formatCode>General</c:formatCode>
                <c:ptCount val="6"/>
                <c:pt idx="0">
                  <c:v>0</c:v>
                </c:pt>
                <c:pt idx="2" formatCode="0">
                  <c:v>9.1999999999999993</c:v>
                </c:pt>
                <c:pt idx="3" formatCode="0">
                  <c:v>13.6</c:v>
                </c:pt>
                <c:pt idx="5" formatCode="0">
                  <c:v>15.6</c:v>
                </c:pt>
              </c:numCache>
            </c:numRef>
          </c:xVal>
          <c:yVal>
            <c:numRef>
              <c:f>'Reference Standards'!$AL$50:$AQ$50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0-8E5C-438D-8CCF-3A53D164C7AA}"/>
            </c:ext>
          </c:extLst>
        </c:ser>
        <c:ser>
          <c:idx val="1"/>
          <c:order val="1"/>
          <c:tx>
            <c:strRef>
              <c:f>'Reference Standards'!$AK$46</c:f>
              <c:strCache>
                <c:ptCount val="1"/>
                <c:pt idx="0">
                  <c:v>65abei, DA &lt;= 2 sq.mi.</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31382131119158552"/>
                  <c:y val="-0.13204940814917712"/>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Standards'!$AL$46:$AQ$46</c:f>
              <c:numCache>
                <c:formatCode>General</c:formatCode>
                <c:ptCount val="6"/>
                <c:pt idx="0">
                  <c:v>0</c:v>
                </c:pt>
                <c:pt idx="2" formatCode="0">
                  <c:v>11.5</c:v>
                </c:pt>
                <c:pt idx="3" formatCode="0">
                  <c:v>17.100000000000001</c:v>
                </c:pt>
                <c:pt idx="5" formatCode="0">
                  <c:v>19.899999999999999</c:v>
                </c:pt>
              </c:numCache>
            </c:numRef>
          </c:xVal>
          <c:yVal>
            <c:numRef>
              <c:f>'Reference Standards'!$AL$50:$AQ$50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0-CCFD-4536-B385-192B6754E2E9}"/>
            </c:ext>
          </c:extLst>
        </c:ser>
        <c:ser>
          <c:idx val="2"/>
          <c:order val="2"/>
          <c:tx>
            <c:strRef>
              <c:f>'Reference Standards'!$AK$47</c:f>
              <c:strCache>
                <c:ptCount val="1"/>
                <c:pt idx="0">
                  <c:v>74a, Jan-June, DA &gt; 2 sq.mi.
71i, DA &gt; 2 sq.mi., SQBANK</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31178351046956226"/>
                  <c:y val="-5.087946457176501E-2"/>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Standards'!$AL$47:$AQ$47</c:f>
              <c:numCache>
                <c:formatCode>General</c:formatCode>
                <c:ptCount val="6"/>
                <c:pt idx="0">
                  <c:v>0</c:v>
                </c:pt>
                <c:pt idx="2" formatCode="0">
                  <c:v>14.15</c:v>
                </c:pt>
                <c:pt idx="3" formatCode="0">
                  <c:v>21.1</c:v>
                </c:pt>
                <c:pt idx="5" formatCode="0">
                  <c:v>24.7</c:v>
                </c:pt>
              </c:numCache>
            </c:numRef>
          </c:xVal>
          <c:yVal>
            <c:numRef>
              <c:f>'Reference Standards'!$AL$50:$AQ$50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2-E735-4E0E-A571-0E7620508D99}"/>
            </c:ext>
          </c:extLst>
        </c:ser>
        <c:ser>
          <c:idx val="3"/>
          <c:order val="3"/>
          <c:tx>
            <c:strRef>
              <c:f>'Reference Standards'!$AK$48</c:f>
              <c:strCache>
                <c:ptCount val="1"/>
                <c:pt idx="0">
                  <c:v>65abei and 74b, DA&gt; 2 sq.mi.</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28732990180528284"/>
                  <c:y val="0.4606136001769931"/>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Standards'!$AL$48:$AQ$48</c:f>
              <c:numCache>
                <c:formatCode>General</c:formatCode>
                <c:ptCount val="6"/>
                <c:pt idx="0">
                  <c:v>0</c:v>
                </c:pt>
                <c:pt idx="2" formatCode="0">
                  <c:v>18.5</c:v>
                </c:pt>
                <c:pt idx="3" formatCode="0">
                  <c:v>27.7</c:v>
                </c:pt>
                <c:pt idx="5" formatCode="0">
                  <c:v>32.700000000000003</c:v>
                </c:pt>
              </c:numCache>
            </c:numRef>
          </c:xVal>
          <c:yVal>
            <c:numRef>
              <c:f>'Reference Standards'!$AL$50:$AQ$50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3-E735-4E0E-A571-0E7620508D99}"/>
            </c:ext>
          </c:extLst>
        </c:ser>
        <c:ser>
          <c:idx val="4"/>
          <c:order val="4"/>
          <c:tx>
            <c:strRef>
              <c:f>'Reference Standards'!$AK$49</c:f>
              <c:strCache>
                <c:ptCount val="1"/>
                <c:pt idx="0">
                  <c:v>68b, DA &gt; 2 sq.mi.</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18938370793115619"/>
                  <c:y val="0.5290437377603231"/>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Standards'!$AL$49:$AQ$49</c:f>
              <c:numCache>
                <c:formatCode>General</c:formatCode>
                <c:ptCount val="6"/>
                <c:pt idx="0">
                  <c:v>0</c:v>
                </c:pt>
                <c:pt idx="2" formatCode="0">
                  <c:v>23.3</c:v>
                </c:pt>
                <c:pt idx="3" formatCode="0">
                  <c:v>34.9</c:v>
                </c:pt>
                <c:pt idx="5" formatCode="0">
                  <c:v>41.2</c:v>
                </c:pt>
              </c:numCache>
            </c:numRef>
          </c:xVal>
          <c:yVal>
            <c:numRef>
              <c:f>'Reference Standards'!$AL$50:$AQ$50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4-E735-4E0E-A571-0E7620508D99}"/>
            </c:ext>
          </c:extLst>
        </c:ser>
        <c:dLbls>
          <c:showLegendKey val="0"/>
          <c:showVal val="0"/>
          <c:showCatName val="0"/>
          <c:showSerName val="0"/>
          <c:showPercent val="0"/>
          <c:showBubbleSize val="0"/>
        </c:dLbls>
        <c:axId val="375699536"/>
        <c:axId val="375699928"/>
      </c:scatterChart>
      <c:valAx>
        <c:axId val="375699536"/>
        <c:scaling>
          <c:orientation val="minMax"/>
          <c:max val="6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699928"/>
        <c:crosses val="autoZero"/>
        <c:crossBetween val="midCat"/>
      </c:valAx>
      <c:valAx>
        <c:axId val="375699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699536"/>
        <c:crosses val="autoZero"/>
        <c:crossBetween val="midCat"/>
      </c:valAx>
      <c:spPr>
        <a:noFill/>
        <a:ln>
          <a:noFill/>
        </a:ln>
        <a:effectLst/>
      </c:spPr>
    </c:plotArea>
    <c:legend>
      <c:legendPos val="r"/>
      <c:layout>
        <c:manualLayout>
          <c:xMode val="edge"/>
          <c:yMode val="edge"/>
          <c:x val="0.68212564468108583"/>
          <c:y val="5.7661436761474255E-2"/>
          <c:w val="0.30699914182862575"/>
          <c:h val="0.900614871563367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a:t>
            </a:r>
            <a:r>
              <a:rPr lang="en-US" baseline="0"/>
              <a:t> for C and E Streams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8106851554169981"/>
                  <c:y val="0.1624766143983512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Standards'!$K$44:$O$44</c:f>
              <c:numCache>
                <c:formatCode>General</c:formatCode>
                <c:ptCount val="5"/>
                <c:pt idx="2">
                  <c:v>2</c:v>
                </c:pt>
                <c:pt idx="4">
                  <c:v>2.4</c:v>
                </c:pt>
              </c:numCache>
            </c:numRef>
          </c:xVal>
          <c:yVal>
            <c:numRef>
              <c:f>'Reference Standards'!$K$45:$O$45</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1EEA-4BDA-8E2E-1D9F09529777}"/>
            </c:ext>
          </c:extLst>
        </c:ser>
        <c:ser>
          <c:idx val="1"/>
          <c:order val="1"/>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1.8817965508072475E-3"/>
                  <c:y val="0.122405795921577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Standards'!$O$44:$P$44</c:f>
              <c:numCache>
                <c:formatCode>General</c:formatCode>
                <c:ptCount val="2"/>
                <c:pt idx="0">
                  <c:v>2.4</c:v>
                </c:pt>
                <c:pt idx="1">
                  <c:v>5</c:v>
                </c:pt>
              </c:numCache>
            </c:numRef>
          </c:xVal>
          <c:yVal>
            <c:numRef>
              <c:f>'Reference Standards'!$O$45:$P$45</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0-FBB7-4035-A17D-E0D766088381}"/>
            </c:ext>
          </c:extLst>
        </c:ser>
        <c:ser>
          <c:idx val="2"/>
          <c:order val="2"/>
          <c:spPr>
            <a:ln w="25400" cap="rnd">
              <a:solidFill>
                <a:srgbClr val="FF0000"/>
              </a:solidFill>
              <a:round/>
            </a:ln>
            <a:effectLst/>
          </c:spPr>
          <c:marker>
            <c:symbol val="none"/>
          </c:marker>
          <c:xVal>
            <c:numLit>
              <c:formatCode>General</c:formatCode>
              <c:ptCount val="2"/>
              <c:pt idx="0">
                <c:v>1.9</c:v>
              </c:pt>
              <c:pt idx="1">
                <c:v>0</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2-51C7-4277-99C3-8671EE365B73}"/>
            </c:ext>
          </c:extLst>
        </c:ser>
        <c:dLbls>
          <c:showLegendKey val="0"/>
          <c:showVal val="0"/>
          <c:showCatName val="0"/>
          <c:showSerName val="0"/>
          <c:showPercent val="0"/>
          <c:showBubbleSize val="0"/>
        </c:dLbls>
        <c:axId val="304404256"/>
        <c:axId val="304403080"/>
      </c:scatterChart>
      <c:valAx>
        <c:axId val="3044042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4403080"/>
        <c:crosses val="autoZero"/>
        <c:crossBetween val="midCat"/>
      </c:valAx>
      <c:valAx>
        <c:axId val="304403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4404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OC - Plot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Standards'!$AK$200</c:f>
              <c:strCache>
                <c:ptCount val="1"/>
                <c:pt idx="0">
                  <c:v>67fghi, 71e, 73ab
71fgh, DA &gt; 2 sq.mi.</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0962806546725755"/>
                  <c:y val="-0.75449106917890074"/>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Standards'!$AL$200:$AQ$200</c:f>
              <c:numCache>
                <c:formatCode>General</c:formatCode>
                <c:ptCount val="6"/>
                <c:pt idx="0" formatCode="0">
                  <c:v>100</c:v>
                </c:pt>
                <c:pt idx="2" formatCode="0">
                  <c:v>51.94</c:v>
                </c:pt>
                <c:pt idx="3" formatCode="0">
                  <c:v>28.04</c:v>
                </c:pt>
                <c:pt idx="5" formatCode="0">
                  <c:v>14</c:v>
                </c:pt>
              </c:numCache>
            </c:numRef>
          </c:xVal>
          <c:yVal>
            <c:numRef>
              <c:f>'Reference Standards'!$AL$204:$AQ$204</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0-06EC-42A6-BA8B-0158167C91F3}"/>
            </c:ext>
          </c:extLst>
        </c:ser>
        <c:ser>
          <c:idx val="1"/>
          <c:order val="1"/>
          <c:tx>
            <c:strRef>
              <c:f>'Reference Standards'!$AK$201</c:f>
              <c:strCache>
                <c:ptCount val="1"/>
                <c:pt idx="0">
                  <c:v>66deik, 66fgj, 68a, 68cd
69de, July - Dec
71i, DA &lt;= 2 sq.mi.
71i, DA &gt; 2sq.mi., SQBANK
74a, July - Dec, DA &gt; 2 sq.mi.</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10534084288211303"/>
                  <c:y val="-0.68990529423050695"/>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Standards'!$AL$201:$AQ$201</c:f>
              <c:numCache>
                <c:formatCode>General</c:formatCode>
                <c:ptCount val="6"/>
                <c:pt idx="0" formatCode="0">
                  <c:v>100</c:v>
                </c:pt>
                <c:pt idx="2" formatCode="0">
                  <c:v>54.029999999999994</c:v>
                </c:pt>
                <c:pt idx="3" formatCode="0">
                  <c:v>31.120000000000005</c:v>
                </c:pt>
                <c:pt idx="5" formatCode="0">
                  <c:v>17.899999999999999</c:v>
                </c:pt>
              </c:numCache>
            </c:numRef>
          </c:xVal>
          <c:yVal>
            <c:numRef>
              <c:f>'Reference Standards'!$AL$204:$AQ$204</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1-1BF6-47A4-B95F-92B8A84F4D01}"/>
            </c:ext>
          </c:extLst>
        </c:ser>
        <c:ser>
          <c:idx val="2"/>
          <c:order val="2"/>
          <c:tx>
            <c:strRef>
              <c:f>'Reference Standards'!$AK$202</c:f>
              <c:strCache>
                <c:ptCount val="1"/>
                <c:pt idx="0">
                  <c:v>69de, Jan - June
71i, DA &gt; 2 sq.mi., SQKICK</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11996045127915395"/>
                  <c:y val="-0.61651236815278676"/>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Standards'!$AL$202:$AQ$202</c:f>
              <c:numCache>
                <c:formatCode>General</c:formatCode>
                <c:ptCount val="6"/>
                <c:pt idx="0" formatCode="0">
                  <c:v>100</c:v>
                </c:pt>
                <c:pt idx="2" formatCode="0">
                  <c:v>55.8</c:v>
                </c:pt>
                <c:pt idx="3" formatCode="0">
                  <c:v>33.799999999999997</c:v>
                </c:pt>
                <c:pt idx="5" formatCode="0">
                  <c:v>21</c:v>
                </c:pt>
              </c:numCache>
            </c:numRef>
          </c:xVal>
          <c:yVal>
            <c:numRef>
              <c:f>'Reference Standards'!$AL$204:$AQ$204</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2-1BF6-47A4-B95F-92B8A84F4D01}"/>
            </c:ext>
          </c:extLst>
        </c:ser>
        <c:ser>
          <c:idx val="3"/>
          <c:order val="3"/>
          <c:tx>
            <c:strRef>
              <c:f>'Reference Standards'!$AK$203</c:f>
              <c:strCache>
                <c:ptCount val="1"/>
                <c:pt idx="0">
                  <c:v>65j
68b, DA &gt; 2 sq.mi.</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11175366796730168"/>
                  <c:y val="-0.5460551591181753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Standards'!$AL$203:$AQ$203</c:f>
              <c:numCache>
                <c:formatCode>General</c:formatCode>
                <c:ptCount val="6"/>
                <c:pt idx="0" formatCode="0">
                  <c:v>100</c:v>
                </c:pt>
                <c:pt idx="2" formatCode="0">
                  <c:v>57.25</c:v>
                </c:pt>
                <c:pt idx="3" formatCode="0">
                  <c:v>36.049999999999997</c:v>
                </c:pt>
                <c:pt idx="5" formatCode="0">
                  <c:v>23.5</c:v>
                </c:pt>
              </c:numCache>
            </c:numRef>
          </c:xVal>
          <c:yVal>
            <c:numRef>
              <c:f>'Reference Standards'!$AL$204:$AQ$204</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3-1BF6-47A4-B95F-92B8A84F4D01}"/>
            </c:ext>
          </c:extLst>
        </c:ser>
        <c:dLbls>
          <c:showLegendKey val="0"/>
          <c:showVal val="0"/>
          <c:showCatName val="0"/>
          <c:showSerName val="0"/>
          <c:showPercent val="0"/>
          <c:showBubbleSize val="0"/>
        </c:dLbls>
        <c:axId val="375705024"/>
        <c:axId val="375702672"/>
      </c:scatterChart>
      <c:valAx>
        <c:axId val="3757050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2672"/>
        <c:crosses val="autoZero"/>
        <c:crossBetween val="midCat"/>
      </c:valAx>
      <c:valAx>
        <c:axId val="375702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5024"/>
        <c:crosses val="autoZero"/>
        <c:crossBetween val="midCat"/>
      </c:valAx>
      <c:spPr>
        <a:noFill/>
        <a:ln>
          <a:noFill/>
        </a:ln>
        <a:effectLst/>
      </c:spPr>
    </c:plotArea>
    <c:legend>
      <c:legendPos val="r"/>
      <c:layout>
        <c:manualLayout>
          <c:xMode val="edge"/>
          <c:yMode val="edge"/>
          <c:x val="0.70435989335969906"/>
          <c:y val="1.7905562374740793E-3"/>
          <c:w val="0.28487720475290879"/>
          <c:h val="0.9982094437625259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OC - Plot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Standards'!$AK$238</c:f>
              <c:strCache>
                <c:ptCount val="1"/>
                <c:pt idx="0">
                  <c:v>65abei, DA &lt;= 2 sq.mi.
71fgh, DA &lt;= 2 sq.mi.</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6770104930441401"/>
                  <c:y val="-0.75902046937914958"/>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Standards'!$AL$238:$AQ$238</c:f>
              <c:numCache>
                <c:formatCode>General</c:formatCode>
                <c:ptCount val="6"/>
                <c:pt idx="0">
                  <c:v>100</c:v>
                </c:pt>
                <c:pt idx="2" formatCode="0">
                  <c:v>62.099999999999994</c:v>
                </c:pt>
                <c:pt idx="3" formatCode="0">
                  <c:v>43.15</c:v>
                </c:pt>
                <c:pt idx="5" formatCode="0">
                  <c:v>32</c:v>
                </c:pt>
              </c:numCache>
            </c:numRef>
          </c:xVal>
          <c:yVal>
            <c:numRef>
              <c:f>'Reference Standards'!$AL$242:$AQ$242</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0-0DF5-4371-9059-C9B850753AF2}"/>
            </c:ext>
          </c:extLst>
        </c:ser>
        <c:ser>
          <c:idx val="1"/>
          <c:order val="1"/>
          <c:tx>
            <c:strRef>
              <c:f>'Reference Standards'!$AK$239</c:f>
              <c:strCache>
                <c:ptCount val="1"/>
                <c:pt idx="0">
                  <c:v>65abei and 74b, DA&gt; 2 sq.mi.</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17130383559152856"/>
                  <c:y val="-0.70588162823360079"/>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Standards'!$AL$239:$AQ$239</c:f>
              <c:numCache>
                <c:formatCode>General</c:formatCode>
                <c:ptCount val="6"/>
                <c:pt idx="0">
                  <c:v>100</c:v>
                </c:pt>
                <c:pt idx="2" formatCode="0">
                  <c:v>64.2</c:v>
                </c:pt>
                <c:pt idx="3" formatCode="0">
                  <c:v>46.3</c:v>
                </c:pt>
                <c:pt idx="5" formatCode="0">
                  <c:v>35.200000000000003</c:v>
                </c:pt>
              </c:numCache>
            </c:numRef>
          </c:xVal>
          <c:yVal>
            <c:numRef>
              <c:f>'Reference Standards'!$AL$242:$AQ$242</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1-BB4D-464C-80AF-8B67A8AFCC00}"/>
            </c:ext>
          </c:extLst>
        </c:ser>
        <c:ser>
          <c:idx val="2"/>
          <c:order val="2"/>
          <c:tx>
            <c:strRef>
              <c:f>'Reference Standards'!$AK$240</c:f>
              <c:strCache>
                <c:ptCount val="1"/>
                <c:pt idx="0">
                  <c:v>74a, Jan-June, DA &gt; 2 sq.mi.</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16770104930441401"/>
                  <c:y val="-0.65274278708805189"/>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Standards'!$AL$240:$AQ$240</c:f>
              <c:numCache>
                <c:formatCode>General</c:formatCode>
                <c:ptCount val="6"/>
                <c:pt idx="0">
                  <c:v>100</c:v>
                </c:pt>
                <c:pt idx="2" formatCode="0">
                  <c:v>73.099999999999994</c:v>
                </c:pt>
                <c:pt idx="3" formatCode="0">
                  <c:v>59.7</c:v>
                </c:pt>
                <c:pt idx="5" formatCode="0">
                  <c:v>51.8</c:v>
                </c:pt>
              </c:numCache>
            </c:numRef>
          </c:xVal>
          <c:yVal>
            <c:numRef>
              <c:f>'Reference Standards'!$AL$242:$AQ$242</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2-BB4D-464C-80AF-8B67A8AFCC00}"/>
            </c:ext>
          </c:extLst>
        </c:ser>
        <c:ser>
          <c:idx val="3"/>
          <c:order val="3"/>
          <c:tx>
            <c:strRef>
              <c:f>'Reference Standards'!$AK$241</c:f>
              <c:strCache>
                <c:ptCount val="1"/>
                <c:pt idx="0">
                  <c:v>74b, DA &lt;= 2 sq.mi.</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17130383559152856"/>
                  <c:y val="-0.5966517881010837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Standards'!$AL$241:$AQ$241</c:f>
              <c:numCache>
                <c:formatCode>General</c:formatCode>
                <c:ptCount val="6"/>
                <c:pt idx="0">
                  <c:v>100</c:v>
                </c:pt>
                <c:pt idx="2" formatCode="0">
                  <c:v>78.5</c:v>
                </c:pt>
                <c:pt idx="3" formatCode="0">
                  <c:v>67.900000000000006</c:v>
                </c:pt>
                <c:pt idx="5" formatCode="0">
                  <c:v>61.6</c:v>
                </c:pt>
              </c:numCache>
            </c:numRef>
          </c:xVal>
          <c:yVal>
            <c:numRef>
              <c:f>'Reference Standards'!$AL$242:$AQ$242</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3-BB4D-464C-80AF-8B67A8AFCC00}"/>
            </c:ext>
          </c:extLst>
        </c:ser>
        <c:dLbls>
          <c:showLegendKey val="0"/>
          <c:showVal val="0"/>
          <c:showCatName val="0"/>
          <c:showSerName val="0"/>
          <c:showPercent val="0"/>
          <c:showBubbleSize val="0"/>
        </c:dLbls>
        <c:axId val="375701104"/>
        <c:axId val="375703456"/>
      </c:scatterChart>
      <c:valAx>
        <c:axId val="3757011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3456"/>
        <c:crosses val="autoZero"/>
        <c:crossBetween val="midCat"/>
      </c:valAx>
      <c:valAx>
        <c:axId val="375703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110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Erosion Rate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3"/>
            <c:dispRSqr val="0"/>
            <c:dispEq val="1"/>
            <c:trendlineLbl>
              <c:layout>
                <c:manualLayout>
                  <c:x val="-8.5291920872619706E-2"/>
                  <c:y val="-0.5285942747906243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Standards'!$S$77:$X$77</c:f>
              <c:numCache>
                <c:formatCode>0.00</c:formatCode>
                <c:ptCount val="6"/>
                <c:pt idx="0" formatCode="General">
                  <c:v>0.71</c:v>
                </c:pt>
                <c:pt idx="1">
                  <c:v>0.41170000000000001</c:v>
                </c:pt>
                <c:pt idx="2" formatCode="General">
                  <c:v>0.4</c:v>
                </c:pt>
                <c:pt idx="4" formatCode="General">
                  <c:v>0.19</c:v>
                </c:pt>
                <c:pt idx="5" formatCode="General">
                  <c:v>0.1</c:v>
                </c:pt>
              </c:numCache>
            </c:numRef>
          </c:xVal>
          <c:yVal>
            <c:numRef>
              <c:f>'Reference Standards'!$S$78:$X$78</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8D73-44F2-AF23-B2C97665876A}"/>
            </c:ext>
          </c:extLst>
        </c:ser>
        <c:dLbls>
          <c:showLegendKey val="0"/>
          <c:showVal val="0"/>
          <c:showCatName val="0"/>
          <c:showSerName val="0"/>
          <c:showPercent val="0"/>
          <c:showBubbleSize val="0"/>
        </c:dLbls>
        <c:axId val="375703848"/>
        <c:axId val="375704240"/>
      </c:scatterChart>
      <c:valAx>
        <c:axId val="3757038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4240"/>
        <c:crosses val="autoZero"/>
        <c:crossBetween val="midCat"/>
      </c:valAx>
      <c:valAx>
        <c:axId val="37570424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38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Canopy Coverage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20478156033563941"/>
                  <c:y val="2.745436276819932E-2"/>
                </c:manualLayout>
              </c:layout>
              <c:numFmt formatCode="0.00000E+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Standards'!$S$147:$X$147</c:f>
              <c:numCache>
                <c:formatCode>General</c:formatCode>
                <c:ptCount val="6"/>
                <c:pt idx="0">
                  <c:v>0</c:v>
                </c:pt>
                <c:pt idx="2">
                  <c:v>25</c:v>
                </c:pt>
                <c:pt idx="4">
                  <c:v>61</c:v>
                </c:pt>
                <c:pt idx="5">
                  <c:v>90.54</c:v>
                </c:pt>
              </c:numCache>
            </c:numRef>
          </c:xVal>
          <c:yVal>
            <c:numRef>
              <c:f>'Reference Standards'!$S$148:$X$148</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4911-4DA5-AA4A-FD42E07D2D46}"/>
            </c:ext>
          </c:extLst>
        </c:ser>
        <c:dLbls>
          <c:showLegendKey val="0"/>
          <c:showVal val="0"/>
          <c:showCatName val="0"/>
          <c:showSerName val="0"/>
          <c:showPercent val="0"/>
          <c:showBubbleSize val="0"/>
        </c:dLbls>
        <c:axId val="375706592"/>
        <c:axId val="375706984"/>
      </c:scatterChart>
      <c:valAx>
        <c:axId val="3757065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6984"/>
        <c:crosses val="autoZero"/>
        <c:crossBetween val="midCat"/>
      </c:valAx>
      <c:valAx>
        <c:axId val="375706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7065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Buffer Width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54505420421658257"/>
                  <c:y val="8.564872445782502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og"/>
            <c:dispRSqr val="0"/>
            <c:dispEq val="0"/>
          </c:trendline>
          <c:trendline>
            <c:spPr>
              <a:ln w="19050" cap="rnd">
                <a:solidFill>
                  <a:schemeClr val="accent1"/>
                </a:solidFill>
                <a:prstDash val="sysDot"/>
              </a:ln>
              <a:effectLst/>
            </c:spPr>
            <c:trendlineType val="log"/>
            <c:dispRSqr val="0"/>
            <c:dispEq val="0"/>
          </c:trendline>
          <c:trendline>
            <c:spPr>
              <a:ln w="19050" cap="rnd">
                <a:solidFill>
                  <a:schemeClr val="accent1"/>
                </a:solidFill>
                <a:prstDash val="sysDot"/>
              </a:ln>
              <a:effectLst/>
            </c:spPr>
            <c:trendlineType val="poly"/>
            <c:order val="2"/>
            <c:dispRSqr val="0"/>
            <c:dispEq val="1"/>
            <c:trendlineLbl>
              <c:layout>
                <c:manualLayout>
                  <c:x val="0.23419609956775875"/>
                  <c:y val="0.19008238511746531"/>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Standards'!$S$215:$W$215</c:f>
              <c:numCache>
                <c:formatCode>General</c:formatCode>
                <c:ptCount val="5"/>
                <c:pt idx="0">
                  <c:v>0</c:v>
                </c:pt>
                <c:pt idx="2">
                  <c:v>30</c:v>
                </c:pt>
                <c:pt idx="4">
                  <c:v>50</c:v>
                </c:pt>
              </c:numCache>
            </c:numRef>
          </c:xVal>
          <c:yVal>
            <c:numRef>
              <c:f>'Reference Standards'!$S$216:$W$216</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CF1F-46F7-8094-779B5B9E9CA9}"/>
            </c:ext>
          </c:extLst>
        </c:ser>
        <c:ser>
          <c:idx val="1"/>
          <c:order val="1"/>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21393606353655131"/>
                  <c:y val="2.1337188840185289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Standards'!$W$215:$X$215</c:f>
              <c:numCache>
                <c:formatCode>General</c:formatCode>
                <c:ptCount val="2"/>
                <c:pt idx="0">
                  <c:v>50</c:v>
                </c:pt>
                <c:pt idx="1">
                  <c:v>200</c:v>
                </c:pt>
              </c:numCache>
            </c:numRef>
          </c:xVal>
          <c:yVal>
            <c:numRef>
              <c:f>'Reference Standards'!$W$216:$X$216</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0-5088-400A-8464-680B23BCC9EB}"/>
            </c:ext>
          </c:extLst>
        </c:ser>
        <c:dLbls>
          <c:showLegendKey val="0"/>
          <c:showVal val="0"/>
          <c:showCatName val="0"/>
          <c:showSerName val="0"/>
          <c:showPercent val="0"/>
          <c:showBubbleSize val="0"/>
        </c:dLbls>
        <c:axId val="376262040"/>
        <c:axId val="376259296"/>
      </c:scatterChart>
      <c:valAx>
        <c:axId val="3762620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59296"/>
        <c:crosses val="autoZero"/>
        <c:crossBetween val="midCat"/>
      </c:valAx>
      <c:valAx>
        <c:axId val="376259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620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Riparian</a:t>
            </a:r>
            <a:r>
              <a:rPr lang="en-US" baseline="0"/>
              <a:t> Vegetation Density</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62154362696391308"/>
                  <c:y val="8.69274072876253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'Performance Stds'!#REF!</c:f>
            </c:numRef>
          </c:xVal>
          <c:yVal>
            <c:numRef>
              <c:f>'Performance Stds'!#REF!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0-7E87-4708-8D6A-0B0F5C65BEC1}"/>
            </c:ext>
          </c:extLst>
        </c:ser>
        <c:dLbls>
          <c:showLegendKey val="0"/>
          <c:showVal val="0"/>
          <c:showCatName val="0"/>
          <c:showSerName val="0"/>
          <c:showPercent val="0"/>
          <c:showBubbleSize val="0"/>
        </c:dLbls>
        <c:axId val="376260080"/>
        <c:axId val="376258120"/>
      </c:scatterChart>
      <c:valAx>
        <c:axId val="376260080"/>
        <c:scaling>
          <c:orientation val="minMax"/>
          <c:min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58120"/>
        <c:crosses val="autoZero"/>
        <c:crossBetween val="midCat"/>
      </c:valAx>
      <c:valAx>
        <c:axId val="37625812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600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Riffle </a:t>
            </a:r>
            <a:r>
              <a:rPr lang="en-US" sz="1400" b="0" i="0" u="none" strike="noStrike" baseline="0">
                <a:effectLst/>
              </a:rPr>
              <a:t>for B4 and B4c Streams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27265115679946184"/>
                  <c:y val="0.61558413681720692"/>
                </c:manualLayout>
              </c:layout>
              <c:numFmt formatCode="#,##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Standards'!$S$588:$X$588</c:f>
              <c:numCache>
                <c:formatCode>General</c:formatCode>
                <c:ptCount val="6"/>
                <c:pt idx="0" formatCode="0">
                  <c:v>16.87</c:v>
                </c:pt>
                <c:pt idx="2">
                  <c:v>20</c:v>
                </c:pt>
                <c:pt idx="4">
                  <c:v>25</c:v>
                </c:pt>
                <c:pt idx="5">
                  <c:v>30</c:v>
                </c:pt>
              </c:numCache>
            </c:numRef>
          </c:xVal>
          <c:yVal>
            <c:numRef>
              <c:f>'Reference Standards'!$S$590:$X$590</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54C0-4B16-B14E-5188ECFE15D4}"/>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1.1697264919343222E-2"/>
                  <c:y val="-0.3571606333477172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Standards'!$S$589:$X$589</c:f>
              <c:numCache>
                <c:formatCode>General</c:formatCode>
                <c:ptCount val="6"/>
                <c:pt idx="0" formatCode="0">
                  <c:v>83.2</c:v>
                </c:pt>
                <c:pt idx="2">
                  <c:v>65</c:v>
                </c:pt>
                <c:pt idx="3">
                  <c:v>41</c:v>
                </c:pt>
              </c:numCache>
            </c:numRef>
          </c:xVal>
          <c:yVal>
            <c:numRef>
              <c:f>'Reference Standards'!$S$590:$X$590</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7BA4-4DC0-99F9-BB01FEA92BD1}"/>
            </c:ext>
          </c:extLst>
        </c:ser>
        <c:ser>
          <c:idx val="2"/>
          <c:order val="2"/>
          <c:tx>
            <c:v>Crest</c:v>
          </c:tx>
          <c:spPr>
            <a:ln w="25400" cap="rnd">
              <a:solidFill>
                <a:srgbClr val="FF0000"/>
              </a:solidFill>
              <a:round/>
            </a:ln>
            <a:effectLst/>
          </c:spPr>
          <c:marker>
            <c:symbol val="none"/>
          </c:marker>
          <c:xVal>
            <c:numLit>
              <c:formatCode>General</c:formatCode>
              <c:ptCount val="2"/>
              <c:pt idx="0">
                <c:v>30</c:v>
              </c:pt>
              <c:pt idx="1">
                <c:v>40</c:v>
              </c:pt>
            </c:numLit>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2-7BA4-4DC0-99F9-BB01FEA92BD1}"/>
            </c:ext>
          </c:extLst>
        </c:ser>
        <c:dLbls>
          <c:showLegendKey val="0"/>
          <c:showVal val="0"/>
          <c:showCatName val="0"/>
          <c:showSerName val="0"/>
          <c:showPercent val="0"/>
          <c:showBubbleSize val="0"/>
        </c:dLbls>
        <c:axId val="376259688"/>
        <c:axId val="376261256"/>
      </c:scatterChart>
      <c:valAx>
        <c:axId val="37625968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61256"/>
        <c:crosses val="autoZero"/>
        <c:crossBetween val="midCat"/>
      </c:valAx>
      <c:valAx>
        <c:axId val="376261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596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a:t>
            </a:r>
            <a:r>
              <a:rPr lang="en-US" baseline="0"/>
              <a:t> Impervious Cover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3899831881942171"/>
                  <c:y val="-0.3508690280639740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Standards'!#REF!</c:f>
            </c:numRef>
          </c:xVal>
          <c:yVal>
            <c:numRef>
              <c:f>'Reference Standards'!#REF!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0-6D1A-4B46-B753-5EE7BFC8112A}"/>
            </c:ext>
          </c:extLst>
        </c:ser>
        <c:ser>
          <c:idx val="1"/>
          <c:order val="1"/>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5.9288715306053522E-2"/>
                  <c:y val="-0.18373373776166552"/>
                </c:manualLayout>
              </c:layout>
              <c:numFmt formatCode="#,##0.0000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Standards'!#REF!</c:f>
            </c:numRef>
          </c:xVal>
          <c:yVal>
            <c:numRef>
              <c:f>'Reference Standards'!#REF!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0-C453-49FD-BCE0-42FA69BC7CEE}"/>
            </c:ext>
          </c:extLst>
        </c:ser>
        <c:dLbls>
          <c:showLegendKey val="0"/>
          <c:showVal val="0"/>
          <c:showCatName val="0"/>
          <c:showSerName val="0"/>
          <c:showPercent val="0"/>
          <c:showBubbleSize val="0"/>
        </c:dLbls>
        <c:axId val="376257336"/>
        <c:axId val="376261648"/>
      </c:scatterChart>
      <c:valAx>
        <c:axId val="37625733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61648"/>
        <c:crosses val="autoZero"/>
        <c:crossBetween val="midCat"/>
      </c:valAx>
      <c:valAx>
        <c:axId val="376261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573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Phosphorous, DA &gt; 2.5 sq.mi. - Plot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Standards'!$AA$338</c:f>
              <c:strCache>
                <c:ptCount val="1"/>
                <c:pt idx="0">
                  <c:v>66deg &gt; 2.5 </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47304780830007953"/>
                  <c:y val="-0.6319563211903880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Standards'!$AB$338:$AG$338</c:f>
              <c:numCache>
                <c:formatCode>General</c:formatCode>
                <c:ptCount val="6"/>
                <c:pt idx="0">
                  <c:v>5.2999999999999999E-2</c:v>
                </c:pt>
                <c:pt idx="2">
                  <c:v>2.1000000000000001E-2</c:v>
                </c:pt>
                <c:pt idx="4">
                  <c:v>2E-3</c:v>
                </c:pt>
              </c:numCache>
            </c:numRef>
          </c:xVal>
          <c:yVal>
            <c:numRef>
              <c:f>'Reference Standards'!$AB$343:$AG$343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306E-43E0-A7CF-22D8DE561819}"/>
            </c:ext>
          </c:extLst>
        </c:ser>
        <c:ser>
          <c:idx val="1"/>
          <c:order val="1"/>
          <c:tx>
            <c:strRef>
              <c:f>'Reference Standards'!$AA$339</c:f>
              <c:strCache>
                <c:ptCount val="1"/>
                <c:pt idx="0">
                  <c:v>68b &gt; 2.5 </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47304780830007953"/>
                  <c:y val="-0.5767330284494933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Standards'!$AB$339:$AG$339</c:f>
              <c:numCache>
                <c:formatCode>General</c:formatCode>
                <c:ptCount val="6"/>
                <c:pt idx="0">
                  <c:v>0.05</c:v>
                </c:pt>
                <c:pt idx="2">
                  <c:v>2.8000000000000001E-2</c:v>
                </c:pt>
                <c:pt idx="4">
                  <c:v>2E-3</c:v>
                </c:pt>
              </c:numCache>
            </c:numRef>
          </c:xVal>
          <c:yVal>
            <c:numRef>
              <c:f>'Reference Standards'!$AB$343:$AG$343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B891-4326-8480-92812F323CC3}"/>
            </c:ext>
          </c:extLst>
        </c:ser>
        <c:ser>
          <c:idx val="2"/>
          <c:order val="2"/>
          <c:tx>
            <c:strRef>
              <c:f>'Reference Standards'!$AA$340</c:f>
              <c:strCache>
                <c:ptCount val="1"/>
                <c:pt idx="0">
                  <c:v>68ac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44850057173219599"/>
                  <c:y val="-0.5244162248002246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Standards'!$AB$340:$AG$340</c:f>
              <c:numCache>
                <c:formatCode>General</c:formatCode>
                <c:ptCount val="6"/>
                <c:pt idx="0">
                  <c:v>7.0000000000000007E-2</c:v>
                </c:pt>
                <c:pt idx="2">
                  <c:v>0.03</c:v>
                </c:pt>
                <c:pt idx="4">
                  <c:v>2E-3</c:v>
                </c:pt>
              </c:numCache>
            </c:numRef>
          </c:xVal>
          <c:yVal>
            <c:numRef>
              <c:f>'Reference Standards'!$AB$343:$AG$343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2-B891-4326-8480-92812F323CC3}"/>
            </c:ext>
          </c:extLst>
        </c:ser>
        <c:ser>
          <c:idx val="3"/>
          <c:order val="3"/>
          <c:tx>
            <c:strRef>
              <c:f>'Reference Standards'!$AE$346</c:f>
              <c:strCache>
                <c:ptCount val="1"/>
                <c:pt idx="0">
                  <c:v>71fg &gt; 2.5, NF </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22327428724950441"/>
                  <c:y val="-0.4691929320593299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Standards'!$AB$341:$AD$341</c:f>
              <c:numCache>
                <c:formatCode>General</c:formatCode>
                <c:ptCount val="3"/>
                <c:pt idx="0">
                  <c:v>0.13</c:v>
                </c:pt>
                <c:pt idx="2">
                  <c:v>4.2000000000000003E-2</c:v>
                </c:pt>
              </c:numCache>
            </c:numRef>
          </c:xVal>
          <c:yVal>
            <c:numRef>
              <c:f>'Reference Standards'!$AB$343:$AD$343</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3-B891-4326-8480-92812F323CC3}"/>
            </c:ext>
          </c:extLst>
        </c:ser>
        <c:ser>
          <c:idx val="5"/>
          <c:order val="4"/>
          <c:tx>
            <c:strRef>
              <c:f>'Reference Standards'!$AF$346</c:f>
              <c:strCache>
                <c:ptCount val="1"/>
                <c:pt idx="0">
                  <c:v>71fg &gt; 2.5, FAR </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53670933565975376"/>
                  <c:y val="-0.1991340951081041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Standards'!$AD$341:$AF$341</c:f>
              <c:numCache>
                <c:formatCode>General</c:formatCode>
                <c:ptCount val="3"/>
                <c:pt idx="0">
                  <c:v>4.2000000000000003E-2</c:v>
                </c:pt>
                <c:pt idx="2">
                  <c:v>2E-3</c:v>
                </c:pt>
              </c:numCache>
            </c:numRef>
          </c:xVal>
          <c:yVal>
            <c:numRef>
              <c:f>'Reference Standards'!$AD$343:$AF$343</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5-6CE2-4A25-B36E-5B351EC7B90A}"/>
            </c:ext>
          </c:extLst>
        </c:ser>
        <c:ser>
          <c:idx val="4"/>
          <c:order val="5"/>
          <c:tx>
            <c:strRef>
              <c:f>'Reference Standards'!$AA$342</c:f>
              <c:strCache>
                <c:ptCount val="1"/>
                <c:pt idx="0">
                  <c:v>67fhi &gt; 2.5 </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11043137508324673"/>
                  <c:y val="-0.3703723029440446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Standards'!$AB$342:$AG$342</c:f>
              <c:numCache>
                <c:formatCode>General</c:formatCode>
                <c:ptCount val="6"/>
                <c:pt idx="0">
                  <c:v>0.16</c:v>
                </c:pt>
                <c:pt idx="2">
                  <c:v>0.06</c:v>
                </c:pt>
                <c:pt idx="4">
                  <c:v>2E-3</c:v>
                </c:pt>
              </c:numCache>
            </c:numRef>
          </c:xVal>
          <c:yVal>
            <c:numRef>
              <c:f>'Reference Standards'!$AB$343:$AG$343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4-B891-4326-8480-92812F323CC3}"/>
            </c:ext>
          </c:extLst>
        </c:ser>
        <c:dLbls>
          <c:showLegendKey val="0"/>
          <c:showVal val="0"/>
          <c:showCatName val="0"/>
          <c:showSerName val="0"/>
          <c:showPercent val="0"/>
          <c:showBubbleSize val="0"/>
        </c:dLbls>
        <c:axId val="376256160"/>
        <c:axId val="376256552"/>
      </c:scatterChart>
      <c:valAx>
        <c:axId val="376256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56552"/>
        <c:crosses val="autoZero"/>
        <c:crossBetween val="midCat"/>
      </c:valAx>
      <c:valAx>
        <c:axId val="376256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5616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Nitrate-Nitrite, DA &lt;=2.5 sq.mi. - Plot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Standards'!$AA$81</c:f>
              <c:strCache>
                <c:ptCount val="1"/>
                <c:pt idx="0">
                  <c:v>69de / DA &lt;=2.5 </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37922041015112185"/>
                  <c:y val="-0.6516915424719509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Standards'!$AB$81:$AG$81</c:f>
              <c:numCache>
                <c:formatCode>General</c:formatCode>
                <c:ptCount val="6"/>
                <c:pt idx="0">
                  <c:v>0.22</c:v>
                </c:pt>
                <c:pt idx="2">
                  <c:v>0.15</c:v>
                </c:pt>
                <c:pt idx="4">
                  <c:v>0.01</c:v>
                </c:pt>
              </c:numCache>
            </c:numRef>
          </c:xVal>
          <c:yVal>
            <c:numRef>
              <c:f>'Reference Standards'!$AB$86:$AG$86</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5444-4189-9526-06CAD9585BFE}"/>
            </c:ext>
          </c:extLst>
        </c:ser>
        <c:ser>
          <c:idx val="1"/>
          <c:order val="1"/>
          <c:tx>
            <c:strRef>
              <c:f>'Reference Standards'!$AA$82</c:f>
              <c:strCache>
                <c:ptCount val="1"/>
                <c:pt idx="0">
                  <c:v>65abei / DA &lt;=2.5 </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20523979023952768"/>
                  <c:y val="-0.5643036801938456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Standards'!$AB$82:$AD$82</c:f>
              <c:numCache>
                <c:formatCode>General</c:formatCode>
                <c:ptCount val="3"/>
                <c:pt idx="0">
                  <c:v>0.67</c:v>
                </c:pt>
                <c:pt idx="2">
                  <c:v>0.18</c:v>
                </c:pt>
              </c:numCache>
            </c:numRef>
          </c:xVal>
          <c:yVal>
            <c:numRef>
              <c:f>'Reference Standards'!$AB$86:$AD$86</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1-9148-4029-8635-C48C16E8C22B}"/>
            </c:ext>
          </c:extLst>
        </c:ser>
        <c:ser>
          <c:idx val="5"/>
          <c:order val="2"/>
          <c:tx>
            <c:strRef>
              <c:f>'Reference Standards'!$AA$82</c:f>
              <c:strCache>
                <c:ptCount val="1"/>
                <c:pt idx="0">
                  <c:v>65abei / DA &lt;=2.5 </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20050734329829431"/>
                  <c:y val="-0.3487048484781462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Standards'!$AD$82:$AF$82</c:f>
              <c:numCache>
                <c:formatCode>General</c:formatCode>
                <c:ptCount val="3"/>
                <c:pt idx="0">
                  <c:v>0.18</c:v>
                </c:pt>
                <c:pt idx="2">
                  <c:v>0.01</c:v>
                </c:pt>
              </c:numCache>
            </c:numRef>
          </c:xVal>
          <c:yVal>
            <c:numRef>
              <c:f>'Reference Standards'!$AD$86:$AF$86</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9-9148-4029-8635-C48C16E8C22B}"/>
            </c:ext>
          </c:extLst>
        </c:ser>
        <c:ser>
          <c:idx val="2"/>
          <c:order val="3"/>
          <c:tx>
            <c:strRef>
              <c:f>'Reference Standards'!$AA$83</c:f>
              <c:strCache>
                <c:ptCount val="1"/>
                <c:pt idx="0">
                  <c:v>65j / DA &lt;=2.5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40913022303267182"/>
                  <c:y val="-0.4581898474275750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Standards'!$AB$83:$AD$83</c:f>
              <c:numCache>
                <c:formatCode>General</c:formatCode>
                <c:ptCount val="3"/>
                <c:pt idx="0">
                  <c:v>0.32</c:v>
                </c:pt>
                <c:pt idx="2">
                  <c:v>0.25</c:v>
                </c:pt>
              </c:numCache>
            </c:numRef>
          </c:xVal>
          <c:yVal>
            <c:numRef>
              <c:f>'Reference Standards'!$AB$86:$AD$86</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2-9148-4029-8635-C48C16E8C22B}"/>
            </c:ext>
          </c:extLst>
        </c:ser>
        <c:ser>
          <c:idx val="6"/>
          <c:order val="4"/>
          <c:tx>
            <c:strRef>
              <c:f>'Reference Standards'!$AA$83</c:f>
              <c:strCache>
                <c:ptCount val="1"/>
                <c:pt idx="0">
                  <c:v>65j / DA &lt;=2.5 </c:v>
                </c:pt>
              </c:strCache>
            </c:strRef>
          </c:tx>
          <c:spPr>
            <a:ln w="25400" cap="rnd">
              <a:noFill/>
              <a:round/>
            </a:ln>
            <a:effectLst/>
          </c:spPr>
          <c:marker>
            <c:symbol val="circle"/>
            <c:size val="5"/>
            <c:spPr>
              <a:solidFill>
                <a:schemeClr val="bg1">
                  <a:lumMod val="65000"/>
                </a:schemeClr>
              </a:solidFill>
              <a:ln w="9525">
                <a:solidFill>
                  <a:schemeClr val="bg1">
                    <a:lumMod val="65000"/>
                  </a:schemeClr>
                </a:solidFill>
              </a:ln>
              <a:effectLst/>
            </c:spPr>
          </c:marker>
          <c:trendline>
            <c:spPr>
              <a:ln w="19050" cap="rnd">
                <a:solidFill>
                  <a:schemeClr val="bg1">
                    <a:lumMod val="65000"/>
                  </a:schemeClr>
                </a:solidFill>
                <a:prstDash val="sysDot"/>
              </a:ln>
              <a:effectLst/>
            </c:spPr>
            <c:trendlineType val="linear"/>
            <c:dispRSqr val="0"/>
            <c:dispEq val="1"/>
            <c:trendlineLbl>
              <c:layout>
                <c:manualLayout>
                  <c:x val="0.20363284847074539"/>
                  <c:y val="-0.2488330058745974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Standards'!$AD$83:$AF$83</c:f>
              <c:numCache>
                <c:formatCode>General</c:formatCode>
                <c:ptCount val="3"/>
                <c:pt idx="0">
                  <c:v>0.25</c:v>
                </c:pt>
                <c:pt idx="2">
                  <c:v>0.01</c:v>
                </c:pt>
              </c:numCache>
            </c:numRef>
          </c:xVal>
          <c:yVal>
            <c:numRef>
              <c:f>'Reference Standards'!$AD$86:$AF$86</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A-9148-4029-8635-C48C16E8C22B}"/>
            </c:ext>
          </c:extLst>
        </c:ser>
        <c:ser>
          <c:idx val="3"/>
          <c:order val="5"/>
          <c:tx>
            <c:strRef>
              <c:f>'Reference Standards'!$AA$84</c:f>
              <c:strCache>
                <c:ptCount val="1"/>
                <c:pt idx="0">
                  <c:v>68c / DA &lt;=2.5 </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11262235255313942"/>
                  <c:y val="-0.3614389999053871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Standards'!$AB$84:$AG$84</c:f>
              <c:numCache>
                <c:formatCode>General</c:formatCode>
                <c:ptCount val="6"/>
                <c:pt idx="0">
                  <c:v>0.87</c:v>
                </c:pt>
                <c:pt idx="2">
                  <c:v>0.39</c:v>
                </c:pt>
                <c:pt idx="4">
                  <c:v>0.01</c:v>
                </c:pt>
              </c:numCache>
            </c:numRef>
          </c:xVal>
          <c:yVal>
            <c:numRef>
              <c:f>'Reference Standards'!$AB$86:$AG$86</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3-9148-4029-8635-C48C16E8C22B}"/>
            </c:ext>
          </c:extLst>
        </c:ser>
        <c:ser>
          <c:idx val="4"/>
          <c:order val="6"/>
          <c:tx>
            <c:strRef>
              <c:f>'Reference Standards'!$AA$85</c:f>
              <c:strCache>
                <c:ptCount val="1"/>
                <c:pt idx="0">
                  <c:v>68a / DA &lt;=2.5 </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1478863498842844"/>
                  <c:y val="-0.295898103196808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Standards'!$AB$85:$AG$85</c:f>
              <c:numCache>
                <c:formatCode>General</c:formatCode>
                <c:ptCount val="6"/>
                <c:pt idx="0">
                  <c:v>0.81</c:v>
                </c:pt>
                <c:pt idx="2">
                  <c:v>0.45</c:v>
                </c:pt>
                <c:pt idx="4">
                  <c:v>0.01</c:v>
                </c:pt>
              </c:numCache>
            </c:numRef>
          </c:xVal>
          <c:yVal>
            <c:numRef>
              <c:f>'Reference Standards'!$AB$86:$AG$86</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4-9148-4029-8635-C48C16E8C22B}"/>
            </c:ext>
          </c:extLst>
        </c:ser>
        <c:dLbls>
          <c:showLegendKey val="0"/>
          <c:showVal val="0"/>
          <c:showCatName val="0"/>
          <c:showSerName val="0"/>
          <c:showPercent val="0"/>
          <c:showBubbleSize val="0"/>
        </c:dLbls>
        <c:axId val="376257728"/>
        <c:axId val="376258904"/>
      </c:scatterChart>
      <c:valAx>
        <c:axId val="376257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58904"/>
        <c:crosses val="autoZero"/>
        <c:crossBetween val="midCat"/>
      </c:valAx>
      <c:valAx>
        <c:axId val="37625890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5772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 for A, B and Bc Streams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4.1485129618198141E-2"/>
                  <c:y val="0.1553228735419383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Standards'!$K$79:$O$79</c:f>
              <c:numCache>
                <c:formatCode>General</c:formatCode>
                <c:ptCount val="5"/>
                <c:pt idx="2">
                  <c:v>1.2</c:v>
                </c:pt>
                <c:pt idx="4">
                  <c:v>1.4</c:v>
                </c:pt>
              </c:numCache>
            </c:numRef>
          </c:xVal>
          <c:yVal>
            <c:numRef>
              <c:f>'Reference Standards'!$K$80:$O$80</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B511-473E-8345-F7FDAF1C4433}"/>
            </c:ext>
          </c:extLst>
        </c:ser>
        <c:ser>
          <c:idx val="1"/>
          <c:order val="1"/>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8.7890770611723942E-2"/>
                  <c:y val="2.2653159754645828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Standards'!$O$79:$P$79</c:f>
              <c:numCache>
                <c:formatCode>General</c:formatCode>
                <c:ptCount val="2"/>
                <c:pt idx="0">
                  <c:v>1.4</c:v>
                </c:pt>
                <c:pt idx="1">
                  <c:v>2.2000000000000002</c:v>
                </c:pt>
              </c:numCache>
            </c:numRef>
          </c:xVal>
          <c:yVal>
            <c:numRef>
              <c:f>'Reference Standards'!$O$80:$P$80</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0-EF40-4FA8-8C0D-00C8C3EA5E04}"/>
            </c:ext>
          </c:extLst>
        </c:ser>
        <c:ser>
          <c:idx val="2"/>
          <c:order val="2"/>
          <c:spPr>
            <a:ln w="25400" cap="rnd">
              <a:solidFill>
                <a:srgbClr val="FF0000"/>
              </a:solidFill>
              <a:round/>
            </a:ln>
            <a:effectLst/>
          </c:spPr>
          <c:marker>
            <c:symbol val="none"/>
          </c:marker>
          <c:xVal>
            <c:numLit>
              <c:formatCode>General</c:formatCode>
              <c:ptCount val="2"/>
              <c:pt idx="0">
                <c:v>1.19</c:v>
              </c:pt>
              <c:pt idx="1">
                <c:v>0</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2-A8A5-4D19-AF0F-196591C04FE0}"/>
            </c:ext>
          </c:extLst>
        </c:ser>
        <c:dLbls>
          <c:showLegendKey val="0"/>
          <c:showVal val="0"/>
          <c:showCatName val="0"/>
          <c:showSerName val="0"/>
          <c:showPercent val="0"/>
          <c:showBubbleSize val="0"/>
        </c:dLbls>
        <c:axId val="304403472"/>
        <c:axId val="304403864"/>
      </c:scatterChart>
      <c:valAx>
        <c:axId val="3044034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4403864"/>
        <c:crosses val="autoZero"/>
        <c:crossBetween val="midCat"/>
      </c:valAx>
      <c:valAx>
        <c:axId val="304403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44034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Nutrient Tolerant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3734946170237982E-2"/>
          <c:y val="0.11933625710030246"/>
          <c:w val="0.60283395228996794"/>
          <c:h val="0.80602382808432627"/>
        </c:manualLayout>
      </c:layout>
      <c:scatterChart>
        <c:scatterStyle val="lineMarker"/>
        <c:varyColors val="0"/>
        <c:ser>
          <c:idx val="0"/>
          <c:order val="0"/>
          <c:tx>
            <c:strRef>
              <c:f>'Reference Standards'!$AB$52</c:f>
              <c:strCache>
                <c:ptCount val="1"/>
                <c:pt idx="0">
                  <c:v>65abei, 65j, 66deik, 66fgj, 68a, 69de, 74b
67fghi, DA &lt;= 2 sq.mi.
68cd, Jan - June</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2238452688299507"/>
                  <c:y val="-0.72842871268610843"/>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Standards'!$AB$45:$AG$45</c:f>
              <c:numCache>
                <c:formatCode>0</c:formatCode>
                <c:ptCount val="6"/>
                <c:pt idx="0">
                  <c:v>100</c:v>
                </c:pt>
                <c:pt idx="2">
                  <c:v>51.225000000000001</c:v>
                </c:pt>
                <c:pt idx="3">
                  <c:v>26.900000000000002</c:v>
                </c:pt>
                <c:pt idx="5">
                  <c:v>12.400000000000002</c:v>
                </c:pt>
              </c:numCache>
            </c:numRef>
          </c:xVal>
          <c:yVal>
            <c:numRef>
              <c:f>'Reference Standards'!$AB$49:$AG$49</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1349-462F-AF75-ED5FB8B6F41C}"/>
            </c:ext>
          </c:extLst>
        </c:ser>
        <c:ser>
          <c:idx val="1"/>
          <c:order val="1"/>
          <c:tx>
            <c:strRef>
              <c:f>'Reference Standards'!$AC$52</c:f>
              <c:strCache>
                <c:ptCount val="1"/>
                <c:pt idx="0">
                  <c:v>67fghi, DA &gt; 2 sq.mi.
68cd, July - Dec
71fgh, DA &gt; 2 sq.mi.
73ab</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11944200551641176"/>
                  <c:y val="-0.65753423272489764"/>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Standards'!$AB$46:$AH$46</c:f>
              <c:numCache>
                <c:formatCode>0</c:formatCode>
                <c:ptCount val="7"/>
                <c:pt idx="0">
                  <c:v>100</c:v>
                </c:pt>
                <c:pt idx="2">
                  <c:v>53.575000000000003</c:v>
                </c:pt>
                <c:pt idx="3">
                  <c:v>30.450000000000003</c:v>
                </c:pt>
                <c:pt idx="5">
                  <c:v>16.400000000000006</c:v>
                </c:pt>
              </c:numCache>
            </c:numRef>
          </c:xVal>
          <c:yVal>
            <c:numRef>
              <c:f>'Reference Standards'!$AB$49:$AH$49</c:f>
              <c:numCache>
                <c:formatCode>General</c:formatCode>
                <c:ptCount val="7"/>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B07A-4045-959E-321507219357}"/>
            </c:ext>
          </c:extLst>
        </c:ser>
        <c:ser>
          <c:idx val="2"/>
          <c:order val="2"/>
          <c:tx>
            <c:strRef>
              <c:f>'Reference Standards'!$AD$52</c:f>
              <c:strCache>
                <c:ptCount val="1"/>
                <c:pt idx="0">
                  <c:v>68b, DA &gt; 2sq.mi.
71e
71i, DA &gt; 2sq.mi.</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11944200551641176"/>
                  <c:y val="-0.580489748129244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Standards'!$AB$47:$AG$47</c:f>
              <c:numCache>
                <c:formatCode>0</c:formatCode>
                <c:ptCount val="6"/>
                <c:pt idx="0">
                  <c:v>100</c:v>
                </c:pt>
                <c:pt idx="2">
                  <c:v>56.875</c:v>
                </c:pt>
                <c:pt idx="3">
                  <c:v>35.450000000000003</c:v>
                </c:pt>
                <c:pt idx="5">
                  <c:v>22.949999999999992</c:v>
                </c:pt>
              </c:numCache>
            </c:numRef>
          </c:xVal>
          <c:yVal>
            <c:numRef>
              <c:f>'Reference Standards'!$AB$49:$AG$49</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2-B07A-4045-959E-321507219357}"/>
            </c:ext>
          </c:extLst>
        </c:ser>
        <c:ser>
          <c:idx val="3"/>
          <c:order val="3"/>
          <c:tx>
            <c:strRef>
              <c:f>'Reference Standards'!$AE$52</c:f>
              <c:strCache>
                <c:ptCount val="1"/>
                <c:pt idx="0">
                  <c:v>71fgh, DA &lt;= 2 sq.mi.
71i, DA &lt;= 2sq.mi.
74a, DA &gt; 2 sq.mi.</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12558568538715259"/>
                  <c:y val="-0.5227063846825049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Standards'!$AB$48:$AG$48</c:f>
              <c:numCache>
                <c:formatCode>0</c:formatCode>
                <c:ptCount val="6"/>
                <c:pt idx="0">
                  <c:v>100</c:v>
                </c:pt>
                <c:pt idx="2">
                  <c:v>64.174999999999997</c:v>
                </c:pt>
                <c:pt idx="3">
                  <c:v>46.325000000000003</c:v>
                </c:pt>
                <c:pt idx="5">
                  <c:v>35.957142857142856</c:v>
                </c:pt>
              </c:numCache>
            </c:numRef>
          </c:xVal>
          <c:yVal>
            <c:numRef>
              <c:f>'Reference Standards'!$AB$49:$AG$49</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3-84E6-42A5-8DDA-518177B4A2E6}"/>
            </c:ext>
          </c:extLst>
        </c:ser>
        <c:dLbls>
          <c:showLegendKey val="0"/>
          <c:showVal val="0"/>
          <c:showCatName val="0"/>
          <c:showSerName val="0"/>
          <c:showPercent val="0"/>
          <c:showBubbleSize val="0"/>
        </c:dLbls>
        <c:axId val="376260864"/>
        <c:axId val="376579632"/>
      </c:scatterChart>
      <c:valAx>
        <c:axId val="37626086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79632"/>
        <c:crosses val="autoZero"/>
        <c:crossBetween val="midCat"/>
      </c:valAx>
      <c:valAx>
        <c:axId val="376579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260864"/>
        <c:crosses val="autoZero"/>
        <c:crossBetween val="midCat"/>
      </c:valAx>
      <c:spPr>
        <a:noFill/>
        <a:ln>
          <a:noFill/>
        </a:ln>
        <a:effectLst/>
      </c:spPr>
    </c:plotArea>
    <c:legend>
      <c:legendPos val="r"/>
      <c:layout>
        <c:manualLayout>
          <c:xMode val="edge"/>
          <c:yMode val="edge"/>
          <c:x val="0.65832516108983763"/>
          <c:y val="1.5451253961358453E-2"/>
          <c:w val="0.33679578033974555"/>
          <c:h val="0.9573776583233173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 Coli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5.0457266280949202E-2"/>
                  <c:y val="2.5833962971845693E-2"/>
                </c:manualLayout>
              </c:layout>
              <c:numFmt formatCode="#,##0.000000" sourceLinked="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Standards'!$AF$10:$AG$10</c:f>
              <c:numCache>
                <c:formatCode>General</c:formatCode>
                <c:ptCount val="2"/>
                <c:pt idx="0" formatCode="0.00">
                  <c:v>487</c:v>
                </c:pt>
                <c:pt idx="1">
                  <c:v>0</c:v>
                </c:pt>
              </c:numCache>
            </c:numRef>
          </c:xVal>
          <c:yVal>
            <c:numRef>
              <c:f>'Reference Standards'!$AF$11:$AG$11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0-6B9A-49E1-B4FD-F489DFFCE937}"/>
            </c:ext>
          </c:extLst>
        </c:ser>
        <c:ser>
          <c:idx val="1"/>
          <c:order val="1"/>
          <c:tx>
            <c:v>FAR</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5301312161413583"/>
                  <c:y val="-0.31658246942120744"/>
                </c:manualLayout>
              </c:layout>
              <c:numFmt formatCode="0.0000000E+00" sourceLinked="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Standards'!$AC$10:$AF$10</c:f>
              <c:numCache>
                <c:formatCode>General</c:formatCode>
                <c:ptCount val="4"/>
                <c:pt idx="1">
                  <c:v>941</c:v>
                </c:pt>
                <c:pt idx="3" formatCode="0.00">
                  <c:v>487</c:v>
                </c:pt>
              </c:numCache>
            </c:numRef>
          </c:xVal>
          <c:yVal>
            <c:numRef>
              <c:f>'Reference Standards'!$AC$11:$AF$11</c:f>
              <c:numCache>
                <c:formatCode>General</c:formatCode>
                <c:ptCount val="4"/>
                <c:pt idx="0">
                  <c:v>0.28999999999999998</c:v>
                </c:pt>
                <c:pt idx="1">
                  <c:v>0.3</c:v>
                </c:pt>
                <c:pt idx="2">
                  <c:v>0.69</c:v>
                </c:pt>
                <c:pt idx="3">
                  <c:v>0.7</c:v>
                </c:pt>
              </c:numCache>
            </c:numRef>
          </c:yVal>
          <c:smooth val="0"/>
          <c:extLst xmlns:c16r2="http://schemas.microsoft.com/office/drawing/2015/06/chart">
            <c:ext xmlns:c16="http://schemas.microsoft.com/office/drawing/2014/chart" uri="{C3380CC4-5D6E-409C-BE32-E72D297353CC}">
              <c16:uniqueId val="{00000001-BB87-4547-A726-F9271FAAF4A7}"/>
            </c:ext>
          </c:extLst>
        </c:ser>
        <c:ser>
          <c:idx val="2"/>
          <c:order val="2"/>
          <c:spPr>
            <a:ln w="25400" cap="rnd">
              <a:solidFill>
                <a:srgbClr val="FF0000"/>
              </a:solidFill>
              <a:round/>
            </a:ln>
            <a:effectLst/>
          </c:spPr>
          <c:marker>
            <c:symbol val="none"/>
          </c:marker>
          <c:xVal>
            <c:numLit>
              <c:formatCode>General</c:formatCode>
              <c:ptCount val="2"/>
              <c:pt idx="0">
                <c:v>941</c:v>
              </c:pt>
              <c:pt idx="1">
                <c:v>1100</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4-BB87-4547-A726-F9271FAAF4A7}"/>
            </c:ext>
          </c:extLst>
        </c:ser>
        <c:dLbls>
          <c:showLegendKey val="0"/>
          <c:showVal val="0"/>
          <c:showCatName val="0"/>
          <c:showSerName val="0"/>
          <c:showPercent val="0"/>
          <c:showBubbleSize val="0"/>
        </c:dLbls>
        <c:axId val="376576496"/>
        <c:axId val="376574144"/>
      </c:scatterChart>
      <c:valAx>
        <c:axId val="376576496"/>
        <c:scaling>
          <c:orientation val="minMax"/>
          <c:max val="1100"/>
          <c:min val="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74144"/>
        <c:crosses val="autoZero"/>
        <c:crossBetween val="midCat"/>
      </c:valAx>
      <c:valAx>
        <c:axId val="37657414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764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Streambank Erosion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3"/>
            <c:dispRSqr val="0"/>
            <c:dispEq val="1"/>
            <c:trendlineLbl>
              <c:layout>
                <c:manualLayout>
                  <c:x val="6.1520324153306487E-2"/>
                  <c:y val="-0.64970834851046988"/>
                </c:manualLayout>
              </c:layout>
              <c:numFmt formatCode="#,##0.0000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Standards'!$S$112:$X$112</c:f>
              <c:numCache>
                <c:formatCode>General</c:formatCode>
                <c:ptCount val="6"/>
                <c:pt idx="0">
                  <c:v>41</c:v>
                </c:pt>
                <c:pt idx="2">
                  <c:v>25</c:v>
                </c:pt>
                <c:pt idx="4">
                  <c:v>9</c:v>
                </c:pt>
                <c:pt idx="5">
                  <c:v>5</c:v>
                </c:pt>
              </c:numCache>
            </c:numRef>
          </c:xVal>
          <c:yVal>
            <c:numRef>
              <c:f>'Reference Standards'!$S$113:$X$113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5148-4788-A083-43E68337C776}"/>
            </c:ext>
          </c:extLst>
        </c:ser>
        <c:dLbls>
          <c:showLegendKey val="0"/>
          <c:showVal val="0"/>
          <c:showCatName val="0"/>
          <c:showSerName val="0"/>
          <c:showPercent val="0"/>
          <c:showBubbleSize val="0"/>
        </c:dLbls>
        <c:axId val="376580024"/>
        <c:axId val="376581592"/>
      </c:scatterChart>
      <c:valAx>
        <c:axId val="3765800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81592"/>
        <c:crosses val="autoZero"/>
        <c:crossBetween val="midCat"/>
      </c:valAx>
      <c:valAx>
        <c:axId val="376581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80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Sinuosity</a:t>
            </a:r>
            <a:r>
              <a:rPr lang="en-US" baseline="0"/>
              <a:t> for Confined Alluvial Valleys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317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2841660752621073"/>
                  <c:y val="2.8495801819488562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Standards'!$S$718:$X$718</c:f>
              <c:numCache>
                <c:formatCode>General</c:formatCode>
                <c:ptCount val="6"/>
                <c:pt idx="4">
                  <c:v>1.1499999999999999</c:v>
                </c:pt>
                <c:pt idx="5">
                  <c:v>1.4</c:v>
                </c:pt>
              </c:numCache>
            </c:numRef>
          </c:xVal>
          <c:yVal>
            <c:numRef>
              <c:f>'Reference Standards'!$S$719:$X$719</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2-957E-4401-A690-A3F4681B1DE1}"/>
            </c:ext>
          </c:extLst>
        </c:ser>
        <c:ser>
          <c:idx val="1"/>
          <c:order val="1"/>
          <c:tx>
            <c:v>Floor</c:v>
          </c:tx>
          <c:spPr>
            <a:ln w="25400" cap="rnd">
              <a:solidFill>
                <a:srgbClr val="FF0000"/>
              </a:solidFill>
              <a:round/>
            </a:ln>
            <a:effectLst/>
          </c:spPr>
          <c:marker>
            <c:symbol val="none"/>
          </c:marker>
          <c:xVal>
            <c:numLit>
              <c:formatCode>General</c:formatCode>
              <c:ptCount val="2"/>
              <c:pt idx="0">
                <c:v>1</c:v>
              </c:pt>
              <c:pt idx="1">
                <c:v>1.1399999999999999</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4-957E-4401-A690-A3F4681B1DE1}"/>
            </c:ext>
          </c:extLst>
        </c:ser>
        <c:dLbls>
          <c:showLegendKey val="0"/>
          <c:showVal val="0"/>
          <c:showCatName val="0"/>
          <c:showSerName val="0"/>
          <c:showPercent val="0"/>
          <c:showBubbleSize val="0"/>
        </c:dLbls>
        <c:axId val="376580416"/>
        <c:axId val="376574536"/>
      </c:scatterChart>
      <c:valAx>
        <c:axId val="376580416"/>
        <c:scaling>
          <c:orientation val="minMax"/>
          <c:min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74536"/>
        <c:crosses val="autoZero"/>
        <c:crossBetween val="midCat"/>
      </c:valAx>
      <c:valAx>
        <c:axId val="376574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804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Basal Area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29874589180539235"/>
                  <c:y val="6.4929143824700081E-2"/>
                </c:manualLayout>
              </c:layout>
              <c:numFmt formatCode="0.00000E+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Standards'!$S$181:$X$181</c:f>
              <c:numCache>
                <c:formatCode>General</c:formatCode>
                <c:ptCount val="6"/>
                <c:pt idx="0">
                  <c:v>0</c:v>
                </c:pt>
                <c:pt idx="2">
                  <c:v>40</c:v>
                </c:pt>
                <c:pt idx="5">
                  <c:v>100</c:v>
                </c:pt>
              </c:numCache>
            </c:numRef>
          </c:xVal>
          <c:yVal>
            <c:numRef>
              <c:f>'Reference Standards'!$S$182:$X$182</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0-4DFD-4BB9-9B0D-3CE048A84054}"/>
            </c:ext>
          </c:extLst>
        </c:ser>
        <c:dLbls>
          <c:showLegendKey val="0"/>
          <c:showVal val="0"/>
          <c:showCatName val="0"/>
          <c:showSerName val="0"/>
          <c:showPercent val="0"/>
          <c:showBubbleSize val="0"/>
        </c:dLbls>
        <c:axId val="376580808"/>
        <c:axId val="376577280"/>
      </c:scatterChart>
      <c:valAx>
        <c:axId val="3765808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77280"/>
        <c:crosses val="autoZero"/>
        <c:crossBetween val="midCat"/>
      </c:valAx>
      <c:valAx>
        <c:axId val="376577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808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Bed</a:t>
            </a:r>
            <a:r>
              <a:rPr lang="en-US" baseline="0"/>
              <a:t> Material Characterization</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5488229423829203"/>
                  <c:y val="3.1465861883158648E-2"/>
                </c:manualLayout>
              </c:layout>
              <c:numFmt formatCode="#,##0.0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Standards'!$S$285:$W$285</c:f>
              <c:numCache>
                <c:formatCode>General</c:formatCode>
                <c:ptCount val="5"/>
                <c:pt idx="0">
                  <c:v>0.01</c:v>
                </c:pt>
                <c:pt idx="1">
                  <c:v>0.05</c:v>
                </c:pt>
                <c:pt idx="3">
                  <c:v>0.1</c:v>
                </c:pt>
              </c:numCache>
            </c:numRef>
          </c:xVal>
          <c:yVal>
            <c:numRef>
              <c:f>'Reference Standards'!$S$286:$W$286</c:f>
              <c:numCache>
                <c:formatCode>General</c:formatCode>
                <c:ptCount val="5"/>
                <c:pt idx="0">
                  <c:v>0</c:v>
                </c:pt>
                <c:pt idx="1">
                  <c:v>0.28999999999999998</c:v>
                </c:pt>
                <c:pt idx="2">
                  <c:v>0.3</c:v>
                </c:pt>
                <c:pt idx="3" formatCode="0.00">
                  <c:v>0.65200000000000002</c:v>
                </c:pt>
                <c:pt idx="4">
                  <c:v>0.7</c:v>
                </c:pt>
              </c:numCache>
            </c:numRef>
          </c:yVal>
          <c:smooth val="0"/>
          <c:extLst xmlns:c16r2="http://schemas.microsoft.com/office/drawing/2015/06/chart">
            <c:ext xmlns:c16="http://schemas.microsoft.com/office/drawing/2014/chart" uri="{C3380CC4-5D6E-409C-BE32-E72D297353CC}">
              <c16:uniqueId val="{00000000-6172-4F85-8BC1-012E13C1F724}"/>
            </c:ext>
          </c:extLst>
        </c:ser>
        <c:ser>
          <c:idx val="1"/>
          <c:order val="1"/>
          <c:spPr>
            <a:ln w="25400" cap="rnd">
              <a:solidFill>
                <a:srgbClr val="FF0000"/>
              </a:solidFill>
              <a:round/>
            </a:ln>
            <a:effectLst/>
          </c:spPr>
          <c:marker>
            <c:symbol val="none"/>
          </c:marker>
          <c:xVal>
            <c:numLit>
              <c:formatCode>General</c:formatCode>
              <c:ptCount val="2"/>
              <c:pt idx="0">
                <c:v>0.10100000000000001</c:v>
              </c:pt>
              <c:pt idx="1">
                <c:v>0.12</c:v>
              </c:pt>
            </c:numLit>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1-70A4-4D58-A0D3-EB6C872EF057}"/>
            </c:ext>
          </c:extLst>
        </c:ser>
        <c:dLbls>
          <c:showLegendKey val="0"/>
          <c:showVal val="0"/>
          <c:showCatName val="0"/>
          <c:showSerName val="0"/>
          <c:showPercent val="0"/>
          <c:showBubbleSize val="0"/>
        </c:dLbls>
        <c:axId val="376577672"/>
        <c:axId val="376578064"/>
      </c:scatterChart>
      <c:valAx>
        <c:axId val="376577672"/>
        <c:scaling>
          <c:orientation val="minMax"/>
          <c:max val="0.1200000000000000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78064"/>
        <c:crosses val="autoZero"/>
        <c:crossBetween val="midCat"/>
      </c:valAx>
      <c:valAx>
        <c:axId val="376578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776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Clingers - Plot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Standards'!$AK$84</c:f>
              <c:strCache>
                <c:ptCount val="1"/>
                <c:pt idx="0">
                  <c:v>71i, DA &lt;= 2 sq.mi.
68cd, Jan - June</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24208962801572559"/>
                  <c:y val="-0.22247768039362659"/>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Standards'!$AL$84:$AQ$84</c:f>
              <c:numCache>
                <c:formatCode>0.0000</c:formatCode>
                <c:ptCount val="6"/>
                <c:pt idx="0" formatCode="General">
                  <c:v>0</c:v>
                </c:pt>
                <c:pt idx="2" formatCode="0">
                  <c:v>27.9</c:v>
                </c:pt>
                <c:pt idx="3" formatCode="0">
                  <c:v>41.75</c:v>
                </c:pt>
                <c:pt idx="5" formatCode="0">
                  <c:v>49.2</c:v>
                </c:pt>
              </c:numCache>
            </c:numRef>
          </c:xVal>
          <c:yVal>
            <c:numRef>
              <c:f>'Reference Standards'!$AL$90:$AQ$90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0-3220-4B15-9F7A-7763D44DA4C2}"/>
            </c:ext>
          </c:extLst>
        </c:ser>
        <c:ser>
          <c:idx val="1"/>
          <c:order val="1"/>
          <c:tx>
            <c:strRef>
              <c:f>'Reference Standards'!$AK$85</c:f>
              <c:strCache>
                <c:ptCount val="1"/>
                <c:pt idx="0">
                  <c:v>68cd, July - Dec
68a, Jan - June</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21290273427472739"/>
                  <c:y val="-0.15749317857416739"/>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Standards'!$AL$85:$AQ$85</c:f>
              <c:numCache>
                <c:formatCode>0.0000</c:formatCode>
                <c:ptCount val="6"/>
                <c:pt idx="0" formatCode="General">
                  <c:v>0</c:v>
                </c:pt>
                <c:pt idx="2" formatCode="0">
                  <c:v>30.4</c:v>
                </c:pt>
                <c:pt idx="3" formatCode="0">
                  <c:v>45.5</c:v>
                </c:pt>
                <c:pt idx="5" formatCode="0">
                  <c:v>53.4</c:v>
                </c:pt>
              </c:numCache>
            </c:numRef>
          </c:xVal>
          <c:yVal>
            <c:numRef>
              <c:f>'Reference Standards'!$AL$90:$AQ$90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1-A1FA-4C10-BDC4-50DED7F274CB}"/>
            </c:ext>
          </c:extLst>
        </c:ser>
        <c:ser>
          <c:idx val="2"/>
          <c:order val="2"/>
          <c:tx>
            <c:strRef>
              <c:f>'Reference Standards'!$AK$86</c:f>
              <c:strCache>
                <c:ptCount val="1"/>
                <c:pt idx="0">
                  <c:v>71i, DA &gt; 2 sq.mi., SQKICK
67fghi, DA &lt;= 2 sq.mi.
65j</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17620806056551927"/>
                  <c:y val="-9.7360980207351525E-2"/>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Standards'!$AL$86:$AQ$86</c:f>
              <c:numCache>
                <c:formatCode>0.0000</c:formatCode>
                <c:ptCount val="6"/>
                <c:pt idx="0" formatCode="General">
                  <c:v>0</c:v>
                </c:pt>
                <c:pt idx="2" formatCode="0">
                  <c:v>32.866666666666667</c:v>
                </c:pt>
                <c:pt idx="3" formatCode="0">
                  <c:v>49.166666666666664</c:v>
                </c:pt>
                <c:pt idx="5" formatCode="0">
                  <c:v>57.8</c:v>
                </c:pt>
              </c:numCache>
            </c:numRef>
          </c:xVal>
          <c:yVal>
            <c:numRef>
              <c:f>'Reference Standards'!$AL$90:$AQ$90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2-A1FA-4C10-BDC4-50DED7F274CB}"/>
            </c:ext>
          </c:extLst>
        </c:ser>
        <c:ser>
          <c:idx val="3"/>
          <c:order val="3"/>
          <c:tx>
            <c:strRef>
              <c:f>'Reference Standards'!$AK$87</c:f>
              <c:strCache>
                <c:ptCount val="1"/>
                <c:pt idx="0">
                  <c:v>67fghi, DA &gt; 2sq.mi.
69de
74a, July-Dec, DA &gt; 2 sq.mi.</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15123593092354595"/>
                  <c:y val="0.43031435851297806"/>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Standards'!$AL$87:$AQ$87</c:f>
              <c:numCache>
                <c:formatCode>0.0000</c:formatCode>
                <c:ptCount val="6"/>
                <c:pt idx="0" formatCode="General">
                  <c:v>0</c:v>
                </c:pt>
                <c:pt idx="2" formatCode="0">
                  <c:v>35.649999999999991</c:v>
                </c:pt>
                <c:pt idx="3" formatCode="0">
                  <c:v>53.349999999999994</c:v>
                </c:pt>
                <c:pt idx="5" formatCode="0">
                  <c:v>62.5</c:v>
                </c:pt>
              </c:numCache>
            </c:numRef>
          </c:xVal>
          <c:yVal>
            <c:numRef>
              <c:f>'Reference Standards'!$AL$90:$AQ$90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3-A1FA-4C10-BDC4-50DED7F274CB}"/>
            </c:ext>
          </c:extLst>
        </c:ser>
        <c:ser>
          <c:idx val="4"/>
          <c:order val="4"/>
          <c:tx>
            <c:strRef>
              <c:f>'Reference Standards'!$AK$88</c:f>
              <c:strCache>
                <c:ptCount val="1"/>
                <c:pt idx="0">
                  <c:v>66deik, 71e, 71fgh</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11625452418542674"/>
                  <c:y val="0.47959394938950856"/>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Standards'!$AL$88:$AQ$88</c:f>
              <c:numCache>
                <c:formatCode>0.0000</c:formatCode>
                <c:ptCount val="6"/>
                <c:pt idx="0" formatCode="General">
                  <c:v>0</c:v>
                </c:pt>
                <c:pt idx="2" formatCode="0">
                  <c:v>37.700000000000003</c:v>
                </c:pt>
                <c:pt idx="3" formatCode="0">
                  <c:v>56.45</c:v>
                </c:pt>
                <c:pt idx="5" formatCode="0">
                  <c:v>66.5</c:v>
                </c:pt>
              </c:numCache>
            </c:numRef>
          </c:xVal>
          <c:yVal>
            <c:numRef>
              <c:f>'Reference Standards'!$AL$90:$AQ$90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4-A1FA-4C10-BDC4-50DED7F274CB}"/>
            </c:ext>
          </c:extLst>
        </c:ser>
        <c:ser>
          <c:idx val="5"/>
          <c:order val="5"/>
          <c:tx>
            <c:strRef>
              <c:f>'Reference Standards'!$AK$89</c:f>
              <c:strCache>
                <c:ptCount val="1"/>
                <c:pt idx="0">
                  <c:v>66fgj
68a, July - Dec</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ly"/>
            <c:order val="2"/>
            <c:dispRSqr val="0"/>
            <c:dispEq val="1"/>
            <c:trendlineLbl>
              <c:layout>
                <c:manualLayout>
                  <c:x val="9.8444913001863088E-2"/>
                  <c:y val="0.52841135204788425"/>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Standards'!$AL$89:$AQ$89</c:f>
              <c:numCache>
                <c:formatCode>0.0000</c:formatCode>
                <c:ptCount val="6"/>
                <c:pt idx="0" formatCode="General">
                  <c:v>0</c:v>
                </c:pt>
                <c:pt idx="2" formatCode="0">
                  <c:v>38.950000000000003</c:v>
                </c:pt>
                <c:pt idx="3" formatCode="0">
                  <c:v>58.349999999999994</c:v>
                </c:pt>
                <c:pt idx="5" formatCode="0">
                  <c:v>69</c:v>
                </c:pt>
              </c:numCache>
            </c:numRef>
          </c:xVal>
          <c:yVal>
            <c:numRef>
              <c:f>'Reference Standards'!$AL$90:$AQ$90</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5-A1FA-4C10-BDC4-50DED7F274CB}"/>
            </c:ext>
          </c:extLst>
        </c:ser>
        <c:dLbls>
          <c:showLegendKey val="0"/>
          <c:showVal val="0"/>
          <c:showCatName val="0"/>
          <c:showSerName val="0"/>
          <c:showPercent val="0"/>
          <c:showBubbleSize val="0"/>
        </c:dLbls>
        <c:axId val="376576104"/>
        <c:axId val="376578848"/>
      </c:scatterChart>
      <c:valAx>
        <c:axId val="3765761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78848"/>
        <c:crosses val="autoZero"/>
        <c:crossBetween val="midCat"/>
      </c:valAx>
      <c:valAx>
        <c:axId val="376578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576104"/>
        <c:crosses val="autoZero"/>
        <c:crossBetween val="midCat"/>
      </c:valAx>
      <c:spPr>
        <a:noFill/>
        <a:ln>
          <a:noFill/>
        </a:ln>
        <a:effectLst/>
      </c:spPr>
    </c:plotArea>
    <c:legend>
      <c:legendPos val="r"/>
      <c:layout>
        <c:manualLayout>
          <c:xMode val="edge"/>
          <c:yMode val="edge"/>
          <c:x val="0.67362111737183639"/>
          <c:y val="0"/>
          <c:w val="0.31834915837702593"/>
          <c:h val="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EPT-Cheum - Plot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Standards'!$AK$122</c:f>
              <c:strCache>
                <c:ptCount val="1"/>
                <c:pt idx="0">
                  <c:v>74b, DA &lt;= 2 sq.mi.</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6.152290709556596E-2"/>
                  <c:y val="-0.2250445759807584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Standards'!$AL$122:$AQ$122</c:f>
              <c:numCache>
                <c:formatCode>0</c:formatCode>
                <c:ptCount val="6"/>
                <c:pt idx="0">
                  <c:v>0</c:v>
                </c:pt>
                <c:pt idx="2">
                  <c:v>4.5999999999999996</c:v>
                </c:pt>
                <c:pt idx="3">
                  <c:v>6.8</c:v>
                </c:pt>
                <c:pt idx="5">
                  <c:v>8.1</c:v>
                </c:pt>
              </c:numCache>
            </c:numRef>
          </c:xVal>
          <c:yVal>
            <c:numRef>
              <c:f>'Reference Standards'!$AL$127:$AQ$127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0-784E-4900-84E9-4CE0490071DA}"/>
            </c:ext>
          </c:extLst>
        </c:ser>
        <c:ser>
          <c:idx val="1"/>
          <c:order val="1"/>
          <c:tx>
            <c:strRef>
              <c:f>'Reference Standards'!$AK$123</c:f>
              <c:strCache>
                <c:ptCount val="1"/>
                <c:pt idx="0">
                  <c:v>73ab</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3.7138577854831017E-2"/>
                  <c:y val="-0.1699098516682828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Standards'!$AL$123:$AQ$123</c:f>
              <c:numCache>
                <c:formatCode>0</c:formatCode>
                <c:ptCount val="6"/>
                <c:pt idx="0">
                  <c:v>0</c:v>
                </c:pt>
                <c:pt idx="2">
                  <c:v>15.7</c:v>
                </c:pt>
                <c:pt idx="3">
                  <c:v>23.5</c:v>
                </c:pt>
                <c:pt idx="5">
                  <c:v>28</c:v>
                </c:pt>
              </c:numCache>
            </c:numRef>
          </c:xVal>
          <c:yVal>
            <c:numRef>
              <c:f>'Reference Standards'!$AL$127:$AQ$127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1-F234-4600-92AA-B899C462CA50}"/>
            </c:ext>
          </c:extLst>
        </c:ser>
        <c:ser>
          <c:idx val="2"/>
          <c:order val="2"/>
          <c:tx>
            <c:strRef>
              <c:f>'Reference Standards'!$AK$124</c:f>
              <c:strCache>
                <c:ptCount val="1"/>
                <c:pt idx="0">
                  <c:v>74a, Jan-June, DA &gt; 2 sq.mi.</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8.8661376665521124E-2"/>
                  <c:y val="-0.11331764629553036"/>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trendlineLbl>
          </c:trendline>
          <c:xVal>
            <c:numRef>
              <c:f>'Reference Standards'!$AL$124:$AQ$124</c:f>
              <c:numCache>
                <c:formatCode>0</c:formatCode>
                <c:ptCount val="6"/>
                <c:pt idx="0">
                  <c:v>0</c:v>
                </c:pt>
                <c:pt idx="2">
                  <c:v>18.2</c:v>
                </c:pt>
                <c:pt idx="3">
                  <c:v>27.2</c:v>
                </c:pt>
                <c:pt idx="5">
                  <c:v>32.5</c:v>
                </c:pt>
              </c:numCache>
            </c:numRef>
          </c:xVal>
          <c:yVal>
            <c:numRef>
              <c:f>'Reference Standards'!$AL$127:$AQ$127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2-F234-4600-92AA-B899C462CA50}"/>
            </c:ext>
          </c:extLst>
        </c:ser>
        <c:ser>
          <c:idx val="3"/>
          <c:order val="3"/>
          <c:tx>
            <c:strRef>
              <c:f>'Reference Standards'!$AK$125</c:f>
              <c:strCache>
                <c:ptCount val="1"/>
                <c:pt idx="0">
                  <c:v>71i, DA &gt; 2 sq.mi., SQBANK</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14054650237001398"/>
                  <c:y val="0.46102512590759476"/>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Standards'!$AL$125:$AQ$125</c:f>
              <c:numCache>
                <c:formatCode>0</c:formatCode>
                <c:ptCount val="6"/>
                <c:pt idx="0">
                  <c:v>0</c:v>
                </c:pt>
                <c:pt idx="2">
                  <c:v>20.5</c:v>
                </c:pt>
                <c:pt idx="3">
                  <c:v>30.7</c:v>
                </c:pt>
                <c:pt idx="5">
                  <c:v>36.799999999999997</c:v>
                </c:pt>
              </c:numCache>
            </c:numRef>
          </c:xVal>
          <c:yVal>
            <c:numRef>
              <c:f>'Reference Standards'!$AL$127:$AQ$127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3-F234-4600-92AA-B899C462CA50}"/>
            </c:ext>
          </c:extLst>
        </c:ser>
        <c:ser>
          <c:idx val="4"/>
          <c:order val="4"/>
          <c:tx>
            <c:strRef>
              <c:f>'Reference Standards'!$AK$126</c:f>
              <c:strCache>
                <c:ptCount val="1"/>
                <c:pt idx="0">
                  <c:v>65abei and 74b, DA&gt; 2 sq.mi.
71i, DA &gt; 2 sq.mi., SQKICK</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6.4743242311346372E-2"/>
                  <c:y val="0.52440075863163604"/>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Standards'!$AL$126:$AQ$126</c:f>
              <c:numCache>
                <c:formatCode>0</c:formatCode>
                <c:ptCount val="6"/>
                <c:pt idx="0">
                  <c:v>0</c:v>
                </c:pt>
                <c:pt idx="2">
                  <c:v>23.950000000000003</c:v>
                </c:pt>
                <c:pt idx="3">
                  <c:v>35.799999999999997</c:v>
                </c:pt>
                <c:pt idx="5">
                  <c:v>42.6</c:v>
                </c:pt>
              </c:numCache>
            </c:numRef>
          </c:xVal>
          <c:yVal>
            <c:numRef>
              <c:f>'Reference Standards'!$AL$127:$AQ$127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4-F234-4600-92AA-B899C462CA50}"/>
            </c:ext>
          </c:extLst>
        </c:ser>
        <c:dLbls>
          <c:showLegendKey val="0"/>
          <c:showVal val="0"/>
          <c:showCatName val="0"/>
          <c:showSerName val="0"/>
          <c:showPercent val="0"/>
          <c:showBubbleSize val="0"/>
        </c:dLbls>
        <c:axId val="377105760"/>
        <c:axId val="377098312"/>
      </c:scatterChart>
      <c:valAx>
        <c:axId val="3771057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098312"/>
        <c:crosses val="autoZero"/>
        <c:crossBetween val="midCat"/>
      </c:valAx>
      <c:valAx>
        <c:axId val="377098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576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Percent EPT-Cheum - Plot 2</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5480703261377259E-2"/>
          <c:y val="0.11488649104540334"/>
          <c:w val="0.58599133837840478"/>
          <c:h val="0.81325673957512468"/>
        </c:manualLayout>
      </c:layout>
      <c:scatterChart>
        <c:scatterStyle val="lineMarker"/>
        <c:varyColors val="0"/>
        <c:ser>
          <c:idx val="0"/>
          <c:order val="0"/>
          <c:tx>
            <c:strRef>
              <c:f>'Reference Standards'!$AK$161</c:f>
              <c:strCache>
                <c:ptCount val="1"/>
                <c:pt idx="0">
                  <c:v>65abei, DA &lt;= 2 sq.mi.
68cd, July - Dec
71e</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1.4808697819247478E-2"/>
                  <c:y val="-0.22363967665941559"/>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Standards'!$AL$161:$AQ$161</c:f>
              <c:numCache>
                <c:formatCode>0</c:formatCode>
                <c:ptCount val="6"/>
                <c:pt idx="0">
                  <c:v>0</c:v>
                </c:pt>
                <c:pt idx="2">
                  <c:v>26.833333333333332</c:v>
                </c:pt>
                <c:pt idx="3">
                  <c:v>40.133333333333333</c:v>
                </c:pt>
                <c:pt idx="5">
                  <c:v>48</c:v>
                </c:pt>
              </c:numCache>
            </c:numRef>
          </c:xVal>
          <c:yVal>
            <c:numRef>
              <c:f>'Reference Standards'!$AL$167:$AQ$167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0-486C-43FC-98E8-B7BE00F686B9}"/>
            </c:ext>
          </c:extLst>
        </c:ser>
        <c:ser>
          <c:idx val="1"/>
          <c:order val="1"/>
          <c:tx>
            <c:strRef>
              <c:f>'Reference Standards'!$AK$162</c:f>
              <c:strCache>
                <c:ptCount val="1"/>
                <c:pt idx="0">
                  <c:v>65j, 67fghi
71i, DA &lt;= 2 sq.mi.
74a, July-Dec, DA &gt; 2 sq.mi.</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4.7830403219435082E-2"/>
                  <c:y val="-0.17088793297094954"/>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Standards'!$AL$162:$AQ$162</c:f>
              <c:numCache>
                <c:formatCode>0</c:formatCode>
                <c:ptCount val="6"/>
                <c:pt idx="0">
                  <c:v>0</c:v>
                </c:pt>
                <c:pt idx="2">
                  <c:v>29.580000000000002</c:v>
                </c:pt>
                <c:pt idx="3">
                  <c:v>44.28</c:v>
                </c:pt>
                <c:pt idx="5">
                  <c:v>53</c:v>
                </c:pt>
              </c:numCache>
            </c:numRef>
          </c:xVal>
          <c:yVal>
            <c:numRef>
              <c:f>'Reference Standards'!$AL$167:$AQ$167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1-E56C-4CCE-8D10-8063278BF457}"/>
            </c:ext>
          </c:extLst>
        </c:ser>
        <c:ser>
          <c:idx val="2"/>
          <c:order val="2"/>
          <c:tx>
            <c:strRef>
              <c:f>'Reference Standards'!$AK$163</c:f>
              <c:strCache>
                <c:ptCount val="1"/>
                <c:pt idx="0">
                  <c:v>68a
68b, DA &gt; 2 sq.mi.
71fgh, DA &gt; 2 sq.mi.</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7.5130411545462447E-2"/>
                  <c:y val="-0.1161135423686358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Standards'!$AL$163:$AQ$163</c:f>
              <c:numCache>
                <c:formatCode>0</c:formatCode>
                <c:ptCount val="6"/>
                <c:pt idx="0">
                  <c:v>0</c:v>
                </c:pt>
                <c:pt idx="2">
                  <c:v>32.024999999999999</c:v>
                </c:pt>
                <c:pt idx="3">
                  <c:v>47.875</c:v>
                </c:pt>
                <c:pt idx="5">
                  <c:v>57</c:v>
                </c:pt>
              </c:numCache>
            </c:numRef>
          </c:xVal>
          <c:yVal>
            <c:numRef>
              <c:f>'Reference Standards'!$AL$167:$AQ$167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2-E56C-4CCE-8D10-8063278BF457}"/>
            </c:ext>
          </c:extLst>
        </c:ser>
        <c:ser>
          <c:idx val="3"/>
          <c:order val="3"/>
          <c:tx>
            <c:strRef>
              <c:f>'Reference Standards'!$AK$164</c:f>
              <c:strCache>
                <c:ptCount val="1"/>
                <c:pt idx="0">
                  <c:v>66fgj
71fgh, DA &lt;= 2 sq.mi.</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10070791090328035"/>
                  <c:y val="-6.4652507406575438E-2"/>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Standards'!$AL$164:$AQ$164</c:f>
              <c:numCache>
                <c:formatCode>0</c:formatCode>
                <c:ptCount val="6"/>
                <c:pt idx="0">
                  <c:v>0</c:v>
                </c:pt>
                <c:pt idx="2">
                  <c:v>34.650000000000006</c:v>
                </c:pt>
                <c:pt idx="3">
                  <c:v>51.9</c:v>
                </c:pt>
                <c:pt idx="5">
                  <c:v>60</c:v>
                </c:pt>
              </c:numCache>
            </c:numRef>
          </c:xVal>
          <c:yVal>
            <c:numRef>
              <c:f>'Reference Standards'!$AL$167:$AQ$167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3-E56C-4CCE-8D10-8063278BF457}"/>
            </c:ext>
          </c:extLst>
        </c:ser>
        <c:ser>
          <c:idx val="4"/>
          <c:order val="4"/>
          <c:tx>
            <c:strRef>
              <c:f>'Reference Standards'!$AK$165</c:f>
              <c:strCache>
                <c:ptCount val="1"/>
                <c:pt idx="0">
                  <c:v>66deik
68cd, Jan - June
69de, July - Dec</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15564451465855983"/>
                  <c:y val="4.9252781596815474E-3"/>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Standards'!$AL$165:$AQ$165</c:f>
              <c:numCache>
                <c:formatCode>0</c:formatCode>
                <c:ptCount val="6"/>
                <c:pt idx="0">
                  <c:v>0</c:v>
                </c:pt>
                <c:pt idx="2">
                  <c:v>37.799999999999997</c:v>
                </c:pt>
                <c:pt idx="3">
                  <c:v>56.6</c:v>
                </c:pt>
                <c:pt idx="5">
                  <c:v>67.5</c:v>
                </c:pt>
              </c:numCache>
            </c:numRef>
          </c:xVal>
          <c:yVal>
            <c:numRef>
              <c:f>'Reference Standards'!$AL$167:$AQ$167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4-E56C-4CCE-8D10-8063278BF457}"/>
            </c:ext>
          </c:extLst>
        </c:ser>
        <c:ser>
          <c:idx val="5"/>
          <c:order val="5"/>
          <c:tx>
            <c:strRef>
              <c:f>'Reference Standards'!$AK$166</c:f>
              <c:strCache>
                <c:ptCount val="1"/>
                <c:pt idx="0">
                  <c:v>69de, Jan - June</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ly"/>
            <c:order val="2"/>
            <c:dispRSqr val="0"/>
            <c:dispEq val="1"/>
            <c:trendlineLbl>
              <c:layout>
                <c:manualLayout>
                  <c:x val="-0.19420891463637599"/>
                  <c:y val="7.4072339687610442E-2"/>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Standards'!$AL$166:$AQ$166</c:f>
              <c:numCache>
                <c:formatCode>0</c:formatCode>
                <c:ptCount val="6"/>
                <c:pt idx="0">
                  <c:v>0</c:v>
                </c:pt>
                <c:pt idx="2">
                  <c:v>40.200000000000003</c:v>
                </c:pt>
                <c:pt idx="3">
                  <c:v>60.1</c:v>
                </c:pt>
                <c:pt idx="5">
                  <c:v>72</c:v>
                </c:pt>
              </c:numCache>
            </c:numRef>
          </c:xVal>
          <c:yVal>
            <c:numRef>
              <c:f>'Reference Standards'!$AL$167:$AQ$167</c:f>
              <c:numCache>
                <c:formatCode>0.00</c:formatCode>
                <c:ptCount val="6"/>
                <c:pt idx="0">
                  <c:v>0</c:v>
                </c:pt>
                <c:pt idx="2">
                  <c:v>0.21</c:v>
                </c:pt>
                <c:pt idx="3">
                  <c:v>0.48</c:v>
                </c:pt>
                <c:pt idx="5">
                  <c:v>0.69</c:v>
                </c:pt>
              </c:numCache>
            </c:numRef>
          </c:yVal>
          <c:smooth val="0"/>
          <c:extLst xmlns:c16r2="http://schemas.microsoft.com/office/drawing/2015/06/chart">
            <c:ext xmlns:c16="http://schemas.microsoft.com/office/drawing/2014/chart" uri="{C3380CC4-5D6E-409C-BE32-E72D297353CC}">
              <c16:uniqueId val="{00000005-E56C-4CCE-8D10-8063278BF457}"/>
            </c:ext>
          </c:extLst>
        </c:ser>
        <c:dLbls>
          <c:showLegendKey val="0"/>
          <c:showVal val="0"/>
          <c:showCatName val="0"/>
          <c:showSerName val="0"/>
          <c:showPercent val="0"/>
          <c:showBubbleSize val="0"/>
        </c:dLbls>
        <c:axId val="377104192"/>
        <c:axId val="377099096"/>
      </c:scatterChart>
      <c:valAx>
        <c:axId val="3771041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099096"/>
        <c:crosses val="autoZero"/>
        <c:crossBetween val="midCat"/>
      </c:valAx>
      <c:valAx>
        <c:axId val="377099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4192"/>
        <c:crosses val="autoZero"/>
        <c:crossBetween val="midCat"/>
      </c:valAx>
      <c:spPr>
        <a:noFill/>
        <a:ln>
          <a:noFill/>
        </a:ln>
        <a:effectLst/>
      </c:spPr>
    </c:plotArea>
    <c:legend>
      <c:legendPos val="r"/>
      <c:layout>
        <c:manualLayout>
          <c:xMode val="edge"/>
          <c:yMode val="edge"/>
          <c:x val="0.59924787746584096"/>
          <c:y val="1.4214868857213025E-2"/>
          <c:w val="0.3899438893838329"/>
          <c:h val="0.97804404945960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Land Use CN Value</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25056900541949617"/>
                  <c:y val="-0.39549171559544272"/>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Standards'!$C$10:$H$10</c:f>
              <c:numCache>
                <c:formatCode>General</c:formatCode>
                <c:ptCount val="6"/>
                <c:pt idx="0" formatCode="0.00">
                  <c:v>78.449629999999999</c:v>
                </c:pt>
                <c:pt idx="2">
                  <c:v>70</c:v>
                </c:pt>
                <c:pt idx="4">
                  <c:v>55</c:v>
                </c:pt>
                <c:pt idx="5" formatCode="0">
                  <c:v>30</c:v>
                </c:pt>
              </c:numCache>
            </c:numRef>
          </c:xVal>
          <c:yVal>
            <c:numRef>
              <c:f>'Reference Standards'!$C$11:$H$11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7AC5-45EF-9405-04BE8E1983D1}"/>
            </c:ext>
          </c:extLst>
        </c:ser>
        <c:dLbls>
          <c:showLegendKey val="0"/>
          <c:showVal val="0"/>
          <c:showCatName val="0"/>
          <c:showSerName val="0"/>
          <c:showPercent val="0"/>
          <c:showBubbleSize val="0"/>
        </c:dLbls>
        <c:axId val="377100664"/>
        <c:axId val="377104584"/>
      </c:scatterChart>
      <c:valAx>
        <c:axId val="37710066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4584"/>
        <c:crosses val="autoZero"/>
        <c:crossBetween val="midCat"/>
      </c:valAx>
      <c:valAx>
        <c:axId val="377104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066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LWDI</a:t>
            </a:r>
            <a:r>
              <a:rPr lang="en-US"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Standards'!$S$13</c:f>
              <c:strCache>
                <c:ptCount val="1"/>
                <c:pt idx="0">
                  <c:v>NF &amp; FAR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35370819514126944"/>
                  <c:y val="0.2731430326662429"/>
                </c:manualLayout>
              </c:layout>
              <c:numFmt formatCode="0.00000E+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Standards'!$S$10:$W$10</c:f>
              <c:numCache>
                <c:formatCode>General</c:formatCode>
                <c:ptCount val="5"/>
                <c:pt idx="0">
                  <c:v>0</c:v>
                </c:pt>
                <c:pt idx="2">
                  <c:v>200</c:v>
                </c:pt>
                <c:pt idx="4">
                  <c:v>300</c:v>
                </c:pt>
              </c:numCache>
            </c:numRef>
          </c:xVal>
          <c:yVal>
            <c:numRef>
              <c:f>'Reference Standards'!$S$11:$W$11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7D9C-4895-B98E-45CEF21B931D}"/>
            </c:ext>
          </c:extLst>
        </c:ser>
        <c:ser>
          <c:idx val="1"/>
          <c:order val="1"/>
          <c:tx>
            <c:strRef>
              <c:f>'Reference Standards'!$T$13</c:f>
              <c:strCache>
                <c:ptCount val="1"/>
                <c:pt idx="0">
                  <c:v>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1.5180613089413335E-2"/>
                  <c:y val="0.15943370997833448"/>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Standards'!$W$10:$X$10</c:f>
              <c:numCache>
                <c:formatCode>General</c:formatCode>
                <c:ptCount val="2"/>
                <c:pt idx="0">
                  <c:v>300</c:v>
                </c:pt>
                <c:pt idx="1">
                  <c:v>700</c:v>
                </c:pt>
              </c:numCache>
            </c:numRef>
          </c:xVal>
          <c:yVal>
            <c:numRef>
              <c:f>'Reference Standards'!$W$11:$X$11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1-2777-4E45-B140-67A5ECEFF695}"/>
            </c:ext>
          </c:extLst>
        </c:ser>
        <c:dLbls>
          <c:showLegendKey val="0"/>
          <c:showVal val="0"/>
          <c:showCatName val="0"/>
          <c:showSerName val="0"/>
          <c:showPercent val="0"/>
          <c:showBubbleSize val="0"/>
        </c:dLbls>
        <c:axId val="373628648"/>
        <c:axId val="373632960"/>
      </c:scatterChart>
      <c:valAx>
        <c:axId val="3736286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32960"/>
        <c:crosses val="autoZero"/>
        <c:crossBetween val="midCat"/>
      </c:valAx>
      <c:valAx>
        <c:axId val="373632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286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Concentrated</a:t>
            </a:r>
            <a:r>
              <a:rPr lang="en-US" baseline="0"/>
              <a:t> Flow Points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7.9055301059516497E-2"/>
                  <c:y val="-0.31659954007596169"/>
                </c:manualLayout>
              </c:layout>
              <c:numFmt formatCode="#,##0.00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Standards'!$E$45:$F$45</c:f>
              <c:numCache>
                <c:formatCode>General</c:formatCode>
                <c:ptCount val="2"/>
                <c:pt idx="0">
                  <c:v>3</c:v>
                </c:pt>
                <c:pt idx="1">
                  <c:v>1</c:v>
                </c:pt>
              </c:numCache>
            </c:numRef>
          </c:xVal>
          <c:yVal>
            <c:numRef>
              <c:f>'Reference Standards'!$E$46:$F$46</c:f>
              <c:numCache>
                <c:formatCode>General</c:formatCode>
                <c:ptCount val="2"/>
                <c:pt idx="0">
                  <c:v>0.3</c:v>
                </c:pt>
                <c:pt idx="1">
                  <c:v>0.69</c:v>
                </c:pt>
              </c:numCache>
            </c:numRef>
          </c:yVal>
          <c:smooth val="0"/>
          <c:extLst xmlns:c16r2="http://schemas.microsoft.com/office/drawing/2015/06/chart">
            <c:ext xmlns:c16="http://schemas.microsoft.com/office/drawing/2014/chart" uri="{C3380CC4-5D6E-409C-BE32-E72D297353CC}">
              <c16:uniqueId val="{00000001-497F-464D-9884-5EC6C306E1D4}"/>
            </c:ext>
          </c:extLst>
        </c:ser>
        <c:ser>
          <c:idx val="1"/>
          <c:order val="1"/>
          <c:spPr>
            <a:ln w="25400" cap="rnd">
              <a:noFill/>
              <a:round/>
            </a:ln>
            <a:effectLst/>
          </c:spPr>
          <c:marker>
            <c:symbol val="circle"/>
            <c:size val="5"/>
            <c:spPr>
              <a:solidFill>
                <a:srgbClr val="00B050"/>
              </a:solidFill>
              <a:ln w="9525">
                <a:solidFill>
                  <a:srgbClr val="00B050"/>
                </a:solidFill>
              </a:ln>
              <a:effectLst/>
            </c:spPr>
          </c:marker>
          <c:xVal>
            <c:numRef>
              <c:f>'Reference Standards'!$H$45</c:f>
              <c:numCache>
                <c:formatCode>0</c:formatCode>
                <c:ptCount val="1"/>
                <c:pt idx="0">
                  <c:v>0</c:v>
                </c:pt>
              </c:numCache>
            </c:numRef>
          </c:xVal>
          <c:yVal>
            <c:numRef>
              <c:f>'Reference Standards'!$H$46</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2-497F-464D-9884-5EC6C306E1D4}"/>
            </c:ext>
          </c:extLst>
        </c:ser>
        <c:ser>
          <c:idx val="2"/>
          <c:order val="2"/>
          <c:spPr>
            <a:ln w="31750" cap="rnd">
              <a:solidFill>
                <a:srgbClr val="FF0000"/>
              </a:solidFill>
              <a:round/>
            </a:ln>
            <a:effectLst/>
          </c:spPr>
          <c:marker>
            <c:symbol val="none"/>
          </c:marker>
          <c:xVal>
            <c:numLit>
              <c:formatCode>General</c:formatCode>
              <c:ptCount val="3"/>
              <c:pt idx="0">
                <c:v>4</c:v>
              </c:pt>
              <c:pt idx="1">
                <c:v>5</c:v>
              </c:pt>
              <c:pt idx="2">
                <c:v>6</c:v>
              </c:pt>
            </c:numLit>
          </c:xVal>
          <c:yVal>
            <c:numLit>
              <c:formatCode>General</c:formatCode>
              <c:ptCount val="3"/>
              <c:pt idx="0">
                <c:v>0</c:v>
              </c:pt>
              <c:pt idx="1">
                <c:v>0</c:v>
              </c:pt>
              <c:pt idx="2">
                <c:v>0</c:v>
              </c:pt>
            </c:numLit>
          </c:yVal>
          <c:smooth val="0"/>
          <c:extLst xmlns:c16r2="http://schemas.microsoft.com/office/drawing/2015/06/chart">
            <c:ext xmlns:c16="http://schemas.microsoft.com/office/drawing/2014/chart" uri="{C3380CC4-5D6E-409C-BE32-E72D297353CC}">
              <c16:uniqueId val="{00000003-497F-464D-9884-5EC6C306E1D4}"/>
            </c:ext>
          </c:extLst>
        </c:ser>
        <c:dLbls>
          <c:showLegendKey val="0"/>
          <c:showVal val="0"/>
          <c:showCatName val="0"/>
          <c:showSerName val="0"/>
          <c:showPercent val="0"/>
          <c:showBubbleSize val="0"/>
        </c:dLbls>
        <c:axId val="377101056"/>
        <c:axId val="377100272"/>
      </c:scatterChart>
      <c:valAx>
        <c:axId val="377101056"/>
        <c:scaling>
          <c:orientation val="minMax"/>
          <c:max val="5"/>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0272"/>
        <c:crosses val="autoZero"/>
        <c:crossBetween val="midCat"/>
      </c:valAx>
      <c:valAx>
        <c:axId val="377100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10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Soil Bulk Density</a:t>
            </a:r>
          </a:p>
        </c:rich>
      </c:tx>
      <c:layout>
        <c:manualLayout>
          <c:xMode val="edge"/>
          <c:yMode val="edge"/>
          <c:x val="0.37917024667510513"/>
          <c:y val="2.076850522668288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Standards'!$B$111</c:f>
              <c:strCache>
                <c:ptCount val="1"/>
                <c:pt idx="0">
                  <c:v>Sandy</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0639165562058805"/>
                  <c:y val="-0.420217020062935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Standards'!$C$111:$H$111</c:f>
              <c:numCache>
                <c:formatCode>General</c:formatCode>
                <c:ptCount val="6"/>
                <c:pt idx="0" formatCode="0.00">
                  <c:v>1.953846153846154</c:v>
                </c:pt>
                <c:pt idx="2">
                  <c:v>1.8</c:v>
                </c:pt>
                <c:pt idx="3">
                  <c:v>1.6</c:v>
                </c:pt>
                <c:pt idx="5" formatCode="0.00">
                  <c:v>1.441025641025641</c:v>
                </c:pt>
              </c:numCache>
            </c:numRef>
          </c:xVal>
          <c:yVal>
            <c:numRef>
              <c:f>'Reference Standards'!$C$114:$H$114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3878-4AA3-8393-B0AF59A608B8}"/>
            </c:ext>
          </c:extLst>
        </c:ser>
        <c:ser>
          <c:idx val="1"/>
          <c:order val="1"/>
          <c:tx>
            <c:strRef>
              <c:f>'Reference Standards'!$B$112</c:f>
              <c:strCache>
                <c:ptCount val="1"/>
                <c:pt idx="0">
                  <c:v>Silty </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16260029285076688"/>
                  <c:y val="-0.50738954616084664"/>
                </c:manualLayout>
              </c:layout>
              <c:numFmt formatCode="#,##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Standards'!$C$112:$H$112</c:f>
              <c:numCache>
                <c:formatCode>General</c:formatCode>
                <c:ptCount val="6"/>
                <c:pt idx="0" formatCode="0.00">
                  <c:v>1.8423076923076924</c:v>
                </c:pt>
                <c:pt idx="2">
                  <c:v>1.65</c:v>
                </c:pt>
                <c:pt idx="3">
                  <c:v>1.4</c:v>
                </c:pt>
                <c:pt idx="5" formatCode="0.00">
                  <c:v>1.2012820512820512</c:v>
                </c:pt>
              </c:numCache>
            </c:numRef>
          </c:xVal>
          <c:yVal>
            <c:numRef>
              <c:f>'Reference Standards'!$C$114:$H$114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3-3878-4AA3-8393-B0AF59A608B8}"/>
            </c:ext>
          </c:extLst>
        </c:ser>
        <c:ser>
          <c:idx val="2"/>
          <c:order val="2"/>
          <c:tx>
            <c:strRef>
              <c:f>'Reference Standards'!$B$113</c:f>
              <c:strCache>
                <c:ptCount val="1"/>
                <c:pt idx="0">
                  <c:v>Clayey</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6.2023852026134613E-2"/>
                  <c:y val="-7.5075579889362393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Standards'!$C$113:$H$113</c:f>
              <c:numCache>
                <c:formatCode>General</c:formatCode>
                <c:ptCount val="6"/>
                <c:pt idx="0" formatCode="0.00">
                  <c:v>1.7545773645764158</c:v>
                </c:pt>
                <c:pt idx="2">
                  <c:v>1.47</c:v>
                </c:pt>
                <c:pt idx="3">
                  <c:v>1.1000000000000001</c:v>
                </c:pt>
                <c:pt idx="5" formatCode="0.00">
                  <c:v>0.80590076842804281</c:v>
                </c:pt>
              </c:numCache>
            </c:numRef>
          </c:xVal>
          <c:yVal>
            <c:numRef>
              <c:f>'Reference Standards'!$C$114:$H$114</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4-3878-4AA3-8393-B0AF59A608B8}"/>
            </c:ext>
          </c:extLst>
        </c:ser>
        <c:dLbls>
          <c:showLegendKey val="0"/>
          <c:showVal val="0"/>
          <c:showCatName val="0"/>
          <c:showSerName val="0"/>
          <c:showPercent val="0"/>
          <c:showBubbleSize val="0"/>
        </c:dLbls>
        <c:axId val="377101448"/>
        <c:axId val="377101840"/>
      </c:scatterChart>
      <c:valAx>
        <c:axId val="37710144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1840"/>
        <c:crosses val="autoZero"/>
        <c:crossBetween val="midCat"/>
      </c:valAx>
      <c:valAx>
        <c:axId val="377101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14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Aggradation Ratio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Standards'!$R$621</c:f>
              <c:strCache>
                <c:ptCount val="1"/>
                <c:pt idx="0">
                  <c:v>Aggradation Ratio </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3"/>
            <c:dispRSqr val="0"/>
            <c:dispEq val="1"/>
            <c:trendlineLbl>
              <c:layout>
                <c:manualLayout>
                  <c:x val="-0.23051913081181932"/>
                  <c:y val="-0.398271917572653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Standards'!$S$622:$X$622</c:f>
              <c:numCache>
                <c:formatCode>General</c:formatCode>
                <c:ptCount val="6"/>
                <c:pt idx="0">
                  <c:v>1.6</c:v>
                </c:pt>
                <c:pt idx="2">
                  <c:v>1.4</c:v>
                </c:pt>
                <c:pt idx="3">
                  <c:v>1.2</c:v>
                </c:pt>
                <c:pt idx="5">
                  <c:v>1</c:v>
                </c:pt>
              </c:numCache>
            </c:numRef>
          </c:xVal>
          <c:yVal>
            <c:numRef>
              <c:f>'Reference Standards'!$S$623:$X$623</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B252-4349-B8F7-631AFF3EE741}"/>
            </c:ext>
          </c:extLst>
        </c:ser>
        <c:dLbls>
          <c:showLegendKey val="0"/>
          <c:showVal val="0"/>
          <c:showCatName val="0"/>
          <c:showSerName val="0"/>
          <c:showPercent val="0"/>
          <c:showBubbleSize val="0"/>
        </c:dLbls>
        <c:axId val="377102624"/>
        <c:axId val="377103016"/>
      </c:scatterChart>
      <c:valAx>
        <c:axId val="3771026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3016"/>
        <c:crosses val="autoZero"/>
        <c:crossBetween val="midCat"/>
      </c:valAx>
      <c:valAx>
        <c:axId val="377103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26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Phosphorous</a:t>
            </a:r>
            <a:r>
              <a:rPr lang="en-US" sz="1400" b="0" i="0" u="none" strike="noStrike" baseline="0">
                <a:effectLst/>
              </a:rPr>
              <a:t>, DA &gt; 2.5 sq.mi. </a:t>
            </a:r>
            <a:r>
              <a:rPr lang="en-US"/>
              <a:t> - Plot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Standards'!$AA$377</c:f>
              <c:strCache>
                <c:ptCount val="1"/>
                <c:pt idx="0">
                  <c:v>65j &gt; 2.5 </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43866577357348391"/>
                  <c:y val="-0.700537021391431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Standards'!$AB$377:$AF$377</c:f>
              <c:numCache>
                <c:formatCode>General</c:formatCode>
                <c:ptCount val="5"/>
                <c:pt idx="0">
                  <c:v>3.5000000000000003E-2</c:v>
                </c:pt>
                <c:pt idx="2">
                  <c:v>1.4999999999999999E-2</c:v>
                </c:pt>
                <c:pt idx="4">
                  <c:v>3.0000000000000001E-3</c:v>
                </c:pt>
              </c:numCache>
            </c:numRef>
          </c:xVal>
          <c:yVal>
            <c:numRef>
              <c:f>'Reference Standards'!$AB$383:$AF$383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C94C-4484-94A3-C968EAE7FB9D}"/>
            </c:ext>
          </c:extLst>
        </c:ser>
        <c:ser>
          <c:idx val="1"/>
          <c:order val="1"/>
          <c:tx>
            <c:strRef>
              <c:f>'Reference Standards'!$AA$378</c:f>
              <c:strCache>
                <c:ptCount val="1"/>
                <c:pt idx="0">
                  <c:v>69de &gt; 2.5 </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43866577357348391"/>
                  <c:y val="-0.6427414053481879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Standards'!$AB$378:$AF$378</c:f>
              <c:numCache>
                <c:formatCode>General</c:formatCode>
                <c:ptCount val="5"/>
                <c:pt idx="0">
                  <c:v>3.6999999999999998E-2</c:v>
                </c:pt>
                <c:pt idx="2">
                  <c:v>1.6E-2</c:v>
                </c:pt>
                <c:pt idx="4">
                  <c:v>3.0000000000000001E-3</c:v>
                </c:pt>
              </c:numCache>
            </c:numRef>
          </c:xVal>
          <c:yVal>
            <c:numRef>
              <c:f>'Reference Standards'!$AB$383:$AF$383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3-C94C-4484-94A3-C968EAE7FB9D}"/>
            </c:ext>
          </c:extLst>
        </c:ser>
        <c:ser>
          <c:idx val="2"/>
          <c:order val="2"/>
          <c:tx>
            <c:strRef>
              <c:f>'Reference Standards'!$AA$379</c:f>
              <c:strCache>
                <c:ptCount val="1"/>
                <c:pt idx="0">
                  <c:v>71e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42860701135716167"/>
                  <c:y val="-0.5849457893049440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Standards'!$AB$379:$AF$379</c:f>
              <c:numCache>
                <c:formatCode>General</c:formatCode>
                <c:ptCount val="5"/>
                <c:pt idx="0">
                  <c:v>0.23</c:v>
                </c:pt>
                <c:pt idx="2">
                  <c:v>0.1</c:v>
                </c:pt>
                <c:pt idx="4">
                  <c:v>3.0000000000000001E-3</c:v>
                </c:pt>
              </c:numCache>
            </c:numRef>
          </c:xVal>
          <c:yVal>
            <c:numRef>
              <c:f>'Reference Standards'!$AB$383:$AF$383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5-C94C-4484-94A3-C968EAE7FB9D}"/>
            </c:ext>
          </c:extLst>
        </c:ser>
        <c:ser>
          <c:idx val="3"/>
          <c:order val="3"/>
          <c:tx>
            <c:strRef>
              <c:f>'Reference Standards'!$AA$380</c:f>
              <c:strCache>
                <c:ptCount val="1"/>
                <c:pt idx="0">
                  <c:v>66f &gt; 2.5 </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43866577357348391"/>
                  <c:y val="-0.5242603924595379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Standards'!$AB$380:$AF$380</c:f>
              <c:numCache>
                <c:formatCode>General</c:formatCode>
                <c:ptCount val="5"/>
                <c:pt idx="0">
                  <c:v>0.06</c:v>
                </c:pt>
                <c:pt idx="2">
                  <c:v>2.7E-2</c:v>
                </c:pt>
                <c:pt idx="4">
                  <c:v>4.0000000000000001E-3</c:v>
                </c:pt>
              </c:numCache>
            </c:numRef>
          </c:xVal>
          <c:yVal>
            <c:numRef>
              <c:f>'Reference Standards'!$AB$383:$AF$383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7-C94C-4484-94A3-C968EAE7FB9D}"/>
            </c:ext>
          </c:extLst>
        </c:ser>
        <c:ser>
          <c:idx val="4"/>
          <c:order val="4"/>
          <c:tx>
            <c:strRef>
              <c:f>'Reference Standards'!$AA$381</c:f>
              <c:strCache>
                <c:ptCount val="1"/>
                <c:pt idx="0">
                  <c:v>67g &gt; 2.5 </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48215419078119998"/>
                  <c:y val="-0.4577954340098075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Standards'!$AB$381:$AF$381</c:f>
              <c:numCache>
                <c:formatCode>General</c:formatCode>
                <c:ptCount val="5"/>
                <c:pt idx="0">
                  <c:v>0.11</c:v>
                </c:pt>
                <c:pt idx="2">
                  <c:v>7.0000000000000007E-2</c:v>
                </c:pt>
                <c:pt idx="4">
                  <c:v>0.01</c:v>
                </c:pt>
              </c:numCache>
            </c:numRef>
          </c:xVal>
          <c:yVal>
            <c:numRef>
              <c:f>'Reference Standards'!$AB$383:$AF$383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9-C94C-4484-94A3-C968EAE7FB9D}"/>
            </c:ext>
          </c:extLst>
        </c:ser>
        <c:ser>
          <c:idx val="5"/>
          <c:order val="5"/>
          <c:tx>
            <c:strRef>
              <c:f>'Reference Standards'!$AA$382</c:f>
              <c:strCache>
                <c:ptCount val="1"/>
                <c:pt idx="0">
                  <c:v>74b &gt; 2.5 </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ly"/>
            <c:order val="2"/>
            <c:dispRSqr val="0"/>
            <c:dispEq val="1"/>
            <c:trendlineLbl>
              <c:layout>
                <c:manualLayout>
                  <c:x val="0.17287695457805294"/>
                  <c:y val="-0.3999998179665636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Standards'!$AB$382:$AF$382</c:f>
              <c:numCache>
                <c:formatCode>General</c:formatCode>
                <c:ptCount val="5"/>
                <c:pt idx="0">
                  <c:v>0.49</c:v>
                </c:pt>
                <c:pt idx="2">
                  <c:v>0.28000000000000003</c:v>
                </c:pt>
                <c:pt idx="4">
                  <c:v>0.01</c:v>
                </c:pt>
              </c:numCache>
            </c:numRef>
          </c:xVal>
          <c:yVal>
            <c:numRef>
              <c:f>'Reference Standards'!$AB$383:$AF$383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A-C94C-4484-94A3-C968EAE7FB9D}"/>
            </c:ext>
          </c:extLst>
        </c:ser>
        <c:ser>
          <c:idx val="6"/>
          <c:order val="6"/>
          <c:tx>
            <c:v>Functioning 67g &amp; 74b</c:v>
          </c:tx>
          <c:spPr>
            <a:ln w="25400" cap="rnd">
              <a:noFill/>
              <a:round/>
            </a:ln>
            <a:effectLst/>
          </c:spPr>
          <c:marker>
            <c:symbol val="circle"/>
            <c:size val="5"/>
            <c:spPr>
              <a:solidFill>
                <a:schemeClr val="tx1"/>
              </a:solidFill>
              <a:ln w="9525">
                <a:solidFill>
                  <a:schemeClr val="tx1"/>
                </a:solidFill>
              </a:ln>
              <a:effectLst/>
            </c:spPr>
          </c:marker>
          <c:trendline>
            <c:spPr>
              <a:ln w="19050" cap="rnd">
                <a:solidFill>
                  <a:schemeClr val="accent1">
                    <a:lumMod val="60000"/>
                  </a:schemeClr>
                </a:solidFill>
                <a:prstDash val="sysDash"/>
              </a:ln>
              <a:effectLst/>
            </c:spPr>
            <c:trendlineType val="linear"/>
            <c:dispRSqr val="0"/>
            <c:dispEq val="1"/>
            <c:trendlineLbl>
              <c:layout>
                <c:manualLayout>
                  <c:x val="8.1304432170947447E-2"/>
                  <c:y val="-0.12600217939531677"/>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rendlineLbl>
          </c:trendline>
          <c:xVal>
            <c:numRef>
              <c:f>'Reference Standards'!$AF$381:$AG$381</c:f>
              <c:numCache>
                <c:formatCode>General</c:formatCode>
                <c:ptCount val="2"/>
                <c:pt idx="0">
                  <c:v>0.01</c:v>
                </c:pt>
                <c:pt idx="1">
                  <c:v>2E-3</c:v>
                </c:pt>
              </c:numCache>
            </c:numRef>
          </c:xVal>
          <c:yVal>
            <c:numRef>
              <c:f>'Reference Standards'!$AF$383:$AG$383</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6-777F-4619-B6F0-0D1B2D8E19F1}"/>
            </c:ext>
          </c:extLst>
        </c:ser>
        <c:dLbls>
          <c:showLegendKey val="0"/>
          <c:showVal val="0"/>
          <c:showCatName val="0"/>
          <c:showSerName val="0"/>
          <c:showPercent val="0"/>
          <c:showBubbleSize val="0"/>
        </c:dLbls>
        <c:axId val="377105368"/>
        <c:axId val="377103800"/>
      </c:scatterChart>
      <c:valAx>
        <c:axId val="3771053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3800"/>
        <c:crosses val="autoZero"/>
        <c:crossBetween val="midCat"/>
      </c:valAx>
      <c:valAx>
        <c:axId val="377103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1053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Phosphorous, DA &gt; 2.5 sq.mi. - Plot 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2"/>
          <c:order val="0"/>
          <c:tx>
            <c:strRef>
              <c:f>'Reference Standards'!$AA$417</c:f>
              <c:strCache>
                <c:ptCount val="1"/>
                <c:pt idx="0">
                  <c:v>71hi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18190418235115666"/>
                  <c:y val="-0.5991625402929159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Standards'!$AB$417:$AF$417</c:f>
              <c:numCache>
                <c:formatCode>General</c:formatCode>
                <c:ptCount val="5"/>
                <c:pt idx="0">
                  <c:v>0.37</c:v>
                </c:pt>
                <c:pt idx="2">
                  <c:v>0.25</c:v>
                </c:pt>
                <c:pt idx="4">
                  <c:v>0.03</c:v>
                </c:pt>
              </c:numCache>
            </c:numRef>
          </c:xVal>
          <c:yVal>
            <c:numRef>
              <c:f>'Reference Standards'!$AB$421:$AF$421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5-7A88-4EF6-8276-7EE8E0E9D99C}"/>
            </c:ext>
          </c:extLst>
        </c:ser>
        <c:ser>
          <c:idx val="0"/>
          <c:order val="1"/>
          <c:tx>
            <c:strRef>
              <c:f>'Reference Standards'!$AA$418</c:f>
              <c:strCache>
                <c:ptCount val="1"/>
                <c:pt idx="0">
                  <c:v>73a &gt; 2.5 </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3546238504772212"/>
                  <c:y val="-0.5438257126135861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Standards'!$AB$418:$AF$418</c:f>
              <c:numCache>
                <c:formatCode>General</c:formatCode>
                <c:ptCount val="5"/>
                <c:pt idx="0">
                  <c:v>0.40500000000000003</c:v>
                </c:pt>
                <c:pt idx="2">
                  <c:v>0.251</c:v>
                </c:pt>
                <c:pt idx="4">
                  <c:v>4.5999999999999999E-2</c:v>
                </c:pt>
              </c:numCache>
            </c:numRef>
          </c:xVal>
          <c:yVal>
            <c:numRef>
              <c:f>'Reference Standards'!$AB$421:$AF$421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7A88-4EF6-8276-7EE8E0E9D99C}"/>
            </c:ext>
          </c:extLst>
        </c:ser>
        <c:ser>
          <c:idx val="1"/>
          <c:order val="2"/>
          <c:tx>
            <c:strRef>
              <c:f>'Reference Standards'!$AA$419</c:f>
              <c:strCache>
                <c:ptCount val="1"/>
                <c:pt idx="0">
                  <c:v>74a &gt; 2.5 </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28977727276263032"/>
                  <c:y val="-0.4972262787783610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Standards'!$AB$419:$AF$419</c:f>
              <c:numCache>
                <c:formatCode>General</c:formatCode>
                <c:ptCount val="5"/>
                <c:pt idx="0">
                  <c:v>0.3</c:v>
                </c:pt>
                <c:pt idx="2">
                  <c:v>0.18</c:v>
                </c:pt>
                <c:pt idx="4">
                  <c:v>5.1999999999999998E-2</c:v>
                </c:pt>
              </c:numCache>
            </c:numRef>
          </c:xVal>
          <c:yVal>
            <c:numRef>
              <c:f>'Reference Standards'!$AB$421:$AF$421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3-7A88-4EF6-8276-7EE8E0E9D99C}"/>
            </c:ext>
          </c:extLst>
        </c:ser>
        <c:ser>
          <c:idx val="3"/>
          <c:order val="3"/>
          <c:tx>
            <c:strRef>
              <c:f>'Reference Standards'!$AA$417</c:f>
              <c:strCache>
                <c:ptCount val="1"/>
                <c:pt idx="0">
                  <c:v>71hi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63452999185633152"/>
                  <c:y val="-0.2003603658972867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Standards'!$AF$417:$AG$417</c:f>
              <c:numCache>
                <c:formatCode>General</c:formatCode>
                <c:ptCount val="2"/>
                <c:pt idx="0">
                  <c:v>0.03</c:v>
                </c:pt>
                <c:pt idx="1">
                  <c:v>0.01</c:v>
                </c:pt>
              </c:numCache>
            </c:numRef>
          </c:xVal>
          <c:yVal>
            <c:numRef>
              <c:f>'Reference Standards'!$AF$421:$AG$421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A-7A88-4EF6-8276-7EE8E0E9D99C}"/>
            </c:ext>
          </c:extLst>
        </c:ser>
        <c:ser>
          <c:idx val="4"/>
          <c:order val="4"/>
          <c:tx>
            <c:strRef>
              <c:f>'Reference Standards'!$AA$418</c:f>
              <c:strCache>
                <c:ptCount val="1"/>
                <c:pt idx="0">
                  <c:v>73a &gt; 2.5 </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59273460317118387"/>
                  <c:y val="-0.1566733966767632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Standards'!$AF$418:$AG$418</c:f>
              <c:numCache>
                <c:formatCode>General</c:formatCode>
                <c:ptCount val="2"/>
                <c:pt idx="0">
                  <c:v>4.5999999999999999E-2</c:v>
                </c:pt>
                <c:pt idx="1">
                  <c:v>0.01</c:v>
                </c:pt>
              </c:numCache>
            </c:numRef>
          </c:xVal>
          <c:yVal>
            <c:numRef>
              <c:f>'Reference Standards'!$AF$421:$AG$421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B-7A88-4EF6-8276-7EE8E0E9D99C}"/>
            </c:ext>
          </c:extLst>
        </c:ser>
        <c:ser>
          <c:idx val="5"/>
          <c:order val="5"/>
          <c:tx>
            <c:strRef>
              <c:f>'Reference Standards'!$AA$419</c:f>
              <c:strCache>
                <c:ptCount val="1"/>
                <c:pt idx="0">
                  <c:v>74a &gt; 2.5 </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58703523198684571"/>
                  <c:y val="-9.8424104382731789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Standards'!$AF$419:$AG$419</c:f>
              <c:numCache>
                <c:formatCode>General</c:formatCode>
                <c:ptCount val="2"/>
                <c:pt idx="0">
                  <c:v>5.1999999999999998E-2</c:v>
                </c:pt>
                <c:pt idx="1">
                  <c:v>0.01</c:v>
                </c:pt>
              </c:numCache>
            </c:numRef>
          </c:xVal>
          <c:yVal>
            <c:numRef>
              <c:f>'Reference Standards'!$AF$421:$AG$421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C-7A88-4EF6-8276-7EE8E0E9D99C}"/>
            </c:ext>
          </c:extLst>
        </c:ser>
        <c:ser>
          <c:idx val="6"/>
          <c:order val="6"/>
          <c:tx>
            <c:strRef>
              <c:f>'Reference Standards'!$AA$420</c:f>
              <c:strCache>
                <c:ptCount val="1"/>
                <c:pt idx="0">
                  <c:v>65abei &gt; 2.5 </c:v>
                </c:pt>
              </c:strCache>
            </c:strRef>
          </c:tx>
          <c:spPr>
            <a:ln w="25400" cap="rnd">
              <a:noFill/>
              <a:round/>
            </a:ln>
            <a:effectLst/>
          </c:spPr>
          <c:marker>
            <c:symbol val="circle"/>
            <c:size val="5"/>
            <c:spPr>
              <a:solidFill>
                <a:schemeClr val="accent2">
                  <a:lumMod val="50000"/>
                </a:schemeClr>
              </a:solidFill>
              <a:ln w="9525">
                <a:solidFill>
                  <a:schemeClr val="accent2">
                    <a:lumMod val="50000"/>
                  </a:schemeClr>
                </a:solidFill>
              </a:ln>
              <a:effectLst/>
            </c:spPr>
          </c:marker>
          <c:trendline>
            <c:spPr>
              <a:ln w="19050" cap="rnd">
                <a:solidFill>
                  <a:schemeClr val="accent2">
                    <a:lumMod val="50000"/>
                  </a:schemeClr>
                </a:solidFill>
                <a:prstDash val="sysDot"/>
              </a:ln>
              <a:effectLst/>
            </c:spPr>
            <c:trendlineType val="poly"/>
            <c:order val="2"/>
            <c:dispRSqr val="0"/>
            <c:dispEq val="1"/>
            <c:trendlineLbl>
              <c:layout>
                <c:manualLayout>
                  <c:x val="0.43989631632138348"/>
                  <c:y val="-0.3865526234197013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lumMod val="50000"/>
                        </a:schemeClr>
                      </a:solidFill>
                      <a:latin typeface="+mn-lt"/>
                      <a:ea typeface="+mn-ea"/>
                      <a:cs typeface="+mn-cs"/>
                    </a:defRPr>
                  </a:pPr>
                  <a:endParaRPr lang="en-US"/>
                </a:p>
              </c:txPr>
            </c:trendlineLbl>
          </c:trendline>
          <c:xVal>
            <c:numRef>
              <c:f>'Reference Standards'!$AB$420:$AF$420</c:f>
              <c:numCache>
                <c:formatCode>General</c:formatCode>
                <c:ptCount val="5"/>
                <c:pt idx="0">
                  <c:v>0.19900000000000001</c:v>
                </c:pt>
                <c:pt idx="2">
                  <c:v>0.1</c:v>
                </c:pt>
                <c:pt idx="4">
                  <c:v>0.01</c:v>
                </c:pt>
              </c:numCache>
            </c:numRef>
          </c:xVal>
          <c:yVal>
            <c:numRef>
              <c:f>'Reference Standards'!$AB$421:$AF$421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6-4B6B-4C7E-AEB3-992FCFC05A60}"/>
            </c:ext>
          </c:extLst>
        </c:ser>
        <c:ser>
          <c:idx val="7"/>
          <c:order val="7"/>
          <c:tx>
            <c:strRef>
              <c:f>'Reference Standards'!$AA$420</c:f>
              <c:strCache>
                <c:ptCount val="1"/>
                <c:pt idx="0">
                  <c:v>65abei &gt; 2.5 </c:v>
                </c:pt>
              </c:strCache>
            </c:strRef>
          </c:tx>
          <c:spPr>
            <a:ln w="25400" cap="rnd">
              <a:noFill/>
              <a:round/>
            </a:ln>
            <a:effectLst/>
          </c:spPr>
          <c:marker>
            <c:symbol val="circle"/>
            <c:size val="5"/>
            <c:spPr>
              <a:solidFill>
                <a:schemeClr val="accent2">
                  <a:lumMod val="60000"/>
                </a:schemeClr>
              </a:solidFill>
              <a:ln w="9525">
                <a:solidFill>
                  <a:schemeClr val="accent2">
                    <a:lumMod val="60000"/>
                  </a:schemeClr>
                </a:solidFill>
              </a:ln>
              <a:effectLst/>
            </c:spPr>
          </c:marker>
          <c:trendline>
            <c:spPr>
              <a:ln w="19050" cap="rnd">
                <a:solidFill>
                  <a:schemeClr val="accent2">
                    <a:lumMod val="60000"/>
                  </a:schemeClr>
                </a:solidFill>
                <a:prstDash val="sysDot"/>
              </a:ln>
              <a:effectLst/>
            </c:spPr>
            <c:trendlineType val="linear"/>
            <c:dispRSqr val="0"/>
            <c:dispEq val="1"/>
            <c:trendlineLbl>
              <c:layout>
                <c:manualLayout>
                  <c:x val="0.60793292632941942"/>
                  <c:y val="0.1200107417198860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lumMod val="50000"/>
                        </a:schemeClr>
                      </a:solidFill>
                      <a:latin typeface="+mn-lt"/>
                      <a:ea typeface="+mn-ea"/>
                      <a:cs typeface="+mn-cs"/>
                    </a:defRPr>
                  </a:pPr>
                  <a:endParaRPr lang="en-US"/>
                </a:p>
              </c:txPr>
            </c:trendlineLbl>
          </c:trendline>
          <c:xVal>
            <c:numRef>
              <c:f>'Reference Standards'!$AF$420:$AG$420</c:f>
              <c:numCache>
                <c:formatCode>General</c:formatCode>
                <c:ptCount val="2"/>
                <c:pt idx="0">
                  <c:v>0.01</c:v>
                </c:pt>
                <c:pt idx="1">
                  <c:v>2E-3</c:v>
                </c:pt>
              </c:numCache>
            </c:numRef>
          </c:xVal>
          <c:yVal>
            <c:numRef>
              <c:f>'Reference Standards'!$AF$421:$AG$421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7-4B6B-4C7E-AEB3-992FCFC05A60}"/>
            </c:ext>
          </c:extLst>
        </c:ser>
        <c:dLbls>
          <c:showLegendKey val="0"/>
          <c:showVal val="0"/>
          <c:showCatName val="0"/>
          <c:showSerName val="0"/>
          <c:showPercent val="0"/>
          <c:showBubbleSize val="0"/>
        </c:dLbls>
        <c:axId val="377462912"/>
        <c:axId val="377463696"/>
      </c:scatterChart>
      <c:valAx>
        <c:axId val="3774629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3696"/>
        <c:crosses val="autoZero"/>
        <c:crossBetween val="midCat"/>
      </c:valAx>
      <c:valAx>
        <c:axId val="377463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291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Phosphorous, DA &lt;= 2.5 sq.mi. - Plot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2"/>
          <c:order val="0"/>
          <c:tx>
            <c:strRef>
              <c:f>'Reference Standards'!$AA$455</c:f>
              <c:strCache>
                <c:ptCount val="1"/>
                <c:pt idx="0">
                  <c:v>66deg / DA &lt;= 2.5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24144765224800552"/>
                  <c:y val="-0.6979501946636206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Standards'!$AB$455:$AF$455</c:f>
              <c:numCache>
                <c:formatCode>General</c:formatCode>
                <c:ptCount val="5"/>
                <c:pt idx="0">
                  <c:v>0.05</c:v>
                </c:pt>
                <c:pt idx="2">
                  <c:v>2.5999999999999999E-2</c:v>
                </c:pt>
                <c:pt idx="4">
                  <c:v>5.0000000000000001E-3</c:v>
                </c:pt>
              </c:numCache>
            </c:numRef>
          </c:xVal>
          <c:yVal>
            <c:numRef>
              <c:f>'Reference Standards'!$AB$459:$AF$459</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59CE-4A42-BC90-5A232FB0AAA8}"/>
            </c:ext>
          </c:extLst>
        </c:ser>
        <c:ser>
          <c:idx val="3"/>
          <c:order val="1"/>
          <c:tx>
            <c:strRef>
              <c:f>'Reference Standards'!$AA$455</c:f>
              <c:strCache>
                <c:ptCount val="1"/>
                <c:pt idx="0">
                  <c:v>66deg / DA &lt;= 2.5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59843397435552226"/>
                  <c:y val="-0.1421198666772042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Standards'!$AF$455:$AG$455</c:f>
              <c:numCache>
                <c:formatCode>General</c:formatCode>
                <c:ptCount val="2"/>
                <c:pt idx="0">
                  <c:v>5.0000000000000001E-3</c:v>
                </c:pt>
                <c:pt idx="1">
                  <c:v>2E-3</c:v>
                </c:pt>
              </c:numCache>
            </c:numRef>
          </c:xVal>
          <c:yVal>
            <c:numRef>
              <c:f>'Reference Standards'!$AF$459:$AG$459</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7-59CE-4A42-BC90-5A232FB0AAA8}"/>
            </c:ext>
          </c:extLst>
        </c:ser>
        <c:ser>
          <c:idx val="0"/>
          <c:order val="2"/>
          <c:tx>
            <c:strRef>
              <c:f>'Reference Standards'!$AA$456</c:f>
              <c:strCache>
                <c:ptCount val="1"/>
                <c:pt idx="0">
                  <c:v>67fhi / DA &lt;= 2.5</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1.9288108149831531E-2"/>
                  <c:y val="-0.6264613281257915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Standards'!$AB$456:$AF$456</c:f>
              <c:numCache>
                <c:formatCode>General</c:formatCode>
                <c:ptCount val="5"/>
                <c:pt idx="0">
                  <c:v>0.1</c:v>
                </c:pt>
                <c:pt idx="2">
                  <c:v>0.05</c:v>
                </c:pt>
                <c:pt idx="4">
                  <c:v>6.0000000000000001E-3</c:v>
                </c:pt>
              </c:numCache>
            </c:numRef>
          </c:xVal>
          <c:yVal>
            <c:numRef>
              <c:f>'Reference Standards'!$AB$459:$AF$459</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3-59CE-4A42-BC90-5A232FB0AAA8}"/>
            </c:ext>
          </c:extLst>
        </c:ser>
        <c:ser>
          <c:idx val="4"/>
          <c:order val="3"/>
          <c:tx>
            <c:strRef>
              <c:f>'Reference Standards'!$AA$456</c:f>
              <c:strCache>
                <c:ptCount val="1"/>
                <c:pt idx="0">
                  <c:v>67fhi / DA &lt;= 2.5</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59653418396074276"/>
                  <c:y val="-7.9209664123914642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Standards'!$AF$456:$AG$456</c:f>
              <c:numCache>
                <c:formatCode>General</c:formatCode>
                <c:ptCount val="2"/>
                <c:pt idx="0">
                  <c:v>6.0000000000000001E-3</c:v>
                </c:pt>
                <c:pt idx="1">
                  <c:v>2E-3</c:v>
                </c:pt>
              </c:numCache>
            </c:numRef>
          </c:xVal>
          <c:yVal>
            <c:numRef>
              <c:f>'Reference Standards'!$AF$459:$AG$459</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9-59CE-4A42-BC90-5A232FB0AAA8}"/>
            </c:ext>
          </c:extLst>
        </c:ser>
        <c:ser>
          <c:idx val="1"/>
          <c:order val="4"/>
          <c:tx>
            <c:strRef>
              <c:f>'Reference Standards'!$AA$457</c:f>
              <c:strCache>
                <c:ptCount val="1"/>
                <c:pt idx="0">
                  <c:v>65abei / DA &lt;= 2.5</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ly"/>
            <c:order val="2"/>
            <c:dispRSqr val="0"/>
            <c:dispEq val="1"/>
            <c:trendlineLbl>
              <c:layout>
                <c:manualLayout>
                  <c:x val="-0.11352324655330154"/>
                  <c:y val="-0.5463937976034229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Standards'!$AB$457:$AF$457</c:f>
              <c:numCache>
                <c:formatCode>General</c:formatCode>
                <c:ptCount val="5"/>
                <c:pt idx="0">
                  <c:v>0.13</c:v>
                </c:pt>
                <c:pt idx="2">
                  <c:v>7.0000000000000007E-2</c:v>
                </c:pt>
                <c:pt idx="4">
                  <c:v>8.0000000000000002E-3</c:v>
                </c:pt>
              </c:numCache>
            </c:numRef>
          </c:xVal>
          <c:yVal>
            <c:numRef>
              <c:f>'Reference Standards'!$AB$459:$AF$459</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5-59CE-4A42-BC90-5A232FB0AAA8}"/>
            </c:ext>
          </c:extLst>
        </c:ser>
        <c:ser>
          <c:idx val="5"/>
          <c:order val="5"/>
          <c:tx>
            <c:strRef>
              <c:f>'Reference Standards'!$AA$457</c:f>
              <c:strCache>
                <c:ptCount val="1"/>
                <c:pt idx="0">
                  <c:v>65abei / DA &lt;= 2.5</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59843397435552226"/>
                  <c:y val="1.5155639706019767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Standards'!$AF$457:$AG$457</c:f>
              <c:numCache>
                <c:formatCode>General</c:formatCode>
                <c:ptCount val="2"/>
                <c:pt idx="0">
                  <c:v>8.0000000000000002E-3</c:v>
                </c:pt>
                <c:pt idx="1">
                  <c:v>3.0000000000000001E-3</c:v>
                </c:pt>
              </c:numCache>
            </c:numRef>
          </c:xVal>
          <c:yVal>
            <c:numRef>
              <c:f>'Reference Standards'!$AF$459:$AG$459</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C-59CE-4A42-BC90-5A232FB0AAA8}"/>
            </c:ext>
          </c:extLst>
        </c:ser>
        <c:ser>
          <c:idx val="6"/>
          <c:order val="6"/>
          <c:tx>
            <c:strRef>
              <c:f>'Reference Standards'!$AA$458</c:f>
              <c:strCache>
                <c:ptCount val="1"/>
                <c:pt idx="0">
                  <c:v>68b / DA &lt;= 2.5</c:v>
                </c:pt>
              </c:strCache>
            </c:strRef>
          </c:tx>
          <c:spPr>
            <a:ln w="25400" cap="rnd">
              <a:noFill/>
              <a:round/>
            </a:ln>
            <a:effectLst/>
          </c:spPr>
          <c:marker>
            <c:symbol val="circle"/>
            <c:size val="5"/>
            <c:spPr>
              <a:solidFill>
                <a:schemeClr val="accent2">
                  <a:lumMod val="50000"/>
                </a:schemeClr>
              </a:solidFill>
              <a:ln w="9525">
                <a:solidFill>
                  <a:schemeClr val="accent2">
                    <a:lumMod val="50000"/>
                  </a:schemeClr>
                </a:solidFill>
              </a:ln>
              <a:effectLst/>
            </c:spPr>
          </c:marker>
          <c:trendline>
            <c:spPr>
              <a:ln w="19050" cap="rnd">
                <a:solidFill>
                  <a:schemeClr val="accent2">
                    <a:lumMod val="50000"/>
                  </a:schemeClr>
                </a:solidFill>
                <a:prstDash val="sysDot"/>
              </a:ln>
              <a:effectLst/>
            </c:spPr>
            <c:trendlineType val="poly"/>
            <c:order val="2"/>
            <c:dispRSqr val="0"/>
            <c:dispEq val="1"/>
            <c:trendlineLbl>
              <c:layout>
                <c:manualLayout>
                  <c:x val="0.26099081099808108"/>
                  <c:y val="-0.4577476030965148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lumMod val="50000"/>
                        </a:schemeClr>
                      </a:solidFill>
                      <a:latin typeface="+mn-lt"/>
                      <a:ea typeface="+mn-ea"/>
                      <a:cs typeface="+mn-cs"/>
                    </a:defRPr>
                  </a:pPr>
                  <a:endParaRPr lang="en-US"/>
                </a:p>
              </c:txPr>
            </c:trendlineLbl>
          </c:trendline>
          <c:xVal>
            <c:numRef>
              <c:f>'Reference Standards'!$AB$458:$AF$458</c:f>
              <c:numCache>
                <c:formatCode>General</c:formatCode>
                <c:ptCount val="5"/>
                <c:pt idx="0">
                  <c:v>4.2999999999999997E-2</c:v>
                </c:pt>
                <c:pt idx="2">
                  <c:v>2.5999999999999999E-2</c:v>
                </c:pt>
                <c:pt idx="4">
                  <c:v>5.0000000000000001E-3</c:v>
                </c:pt>
              </c:numCache>
            </c:numRef>
          </c:xVal>
          <c:yVal>
            <c:numRef>
              <c:f>'Reference Standards'!$AB$459:$AF$459</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E-59CE-4A42-BC90-5A232FB0AAA8}"/>
            </c:ext>
          </c:extLst>
        </c:ser>
        <c:dLbls>
          <c:showLegendKey val="0"/>
          <c:showVal val="0"/>
          <c:showCatName val="0"/>
          <c:showSerName val="0"/>
          <c:showPercent val="0"/>
          <c:showBubbleSize val="0"/>
        </c:dLbls>
        <c:axId val="377465656"/>
        <c:axId val="377466440"/>
      </c:scatterChart>
      <c:valAx>
        <c:axId val="3774656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6440"/>
        <c:crosses val="autoZero"/>
        <c:crossBetween val="midCat"/>
      </c:valAx>
      <c:valAx>
        <c:axId val="377466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565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Phosphorous, DA &lt;= 2.5 sq.mi. - Plot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2"/>
          <c:order val="0"/>
          <c:tx>
            <c:strRef>
              <c:f>'Reference Standards'!$AA$493</c:f>
              <c:strCache>
                <c:ptCount val="1"/>
                <c:pt idx="0">
                  <c:v>69de / DA &lt;= 2.5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45974927553662348"/>
                  <c:y val="-0.647950732649386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Standards'!$AB$493:$AF$493</c:f>
              <c:numCache>
                <c:formatCode>General</c:formatCode>
                <c:ptCount val="5"/>
                <c:pt idx="0">
                  <c:v>3.4000000000000002E-2</c:v>
                </c:pt>
                <c:pt idx="2">
                  <c:v>2.1000000000000001E-2</c:v>
                </c:pt>
                <c:pt idx="4">
                  <c:v>6.0000000000000001E-3</c:v>
                </c:pt>
              </c:numCache>
            </c:numRef>
          </c:xVal>
          <c:yVal>
            <c:numRef>
              <c:f>'Reference Standards'!$AB$496:$AF$496</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682D-4C68-BD58-19D433AF2EBF}"/>
            </c:ext>
          </c:extLst>
        </c:ser>
        <c:ser>
          <c:idx val="0"/>
          <c:order val="1"/>
          <c:tx>
            <c:strRef>
              <c:f>'Reference Standards'!$AA$494</c:f>
              <c:strCache>
                <c:ptCount val="1"/>
                <c:pt idx="0">
                  <c:v>68ac / DA &lt;= 2.5</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42963999121608726"/>
                  <c:y val="-0.5253752409456374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Standards'!$AB$494:$AD$494</c:f>
              <c:numCache>
                <c:formatCode>General</c:formatCode>
                <c:ptCount val="3"/>
                <c:pt idx="0">
                  <c:v>0.20200000000000001</c:v>
                </c:pt>
                <c:pt idx="2">
                  <c:v>0.04</c:v>
                </c:pt>
              </c:numCache>
            </c:numRef>
          </c:xVal>
          <c:yVal>
            <c:numRef>
              <c:f>'Reference Standards'!$AB$496:$AD$496</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3-682D-4C68-BD58-19D433AF2EBF}"/>
            </c:ext>
          </c:extLst>
        </c:ser>
        <c:ser>
          <c:idx val="4"/>
          <c:order val="2"/>
          <c:tx>
            <c:strRef>
              <c:f>'Reference Standards'!$AA$494</c:f>
              <c:strCache>
                <c:ptCount val="1"/>
                <c:pt idx="0">
                  <c:v>68ac / DA &lt;= 2.5</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44645074277316743"/>
                  <c:y val="-0.3605045403947602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Standards'!$AD$494:$AF$494</c:f>
              <c:numCache>
                <c:formatCode>General</c:formatCode>
                <c:ptCount val="3"/>
                <c:pt idx="0">
                  <c:v>0.04</c:v>
                </c:pt>
                <c:pt idx="2">
                  <c:v>6.0000000000000001E-3</c:v>
                </c:pt>
              </c:numCache>
            </c:numRef>
          </c:xVal>
          <c:yVal>
            <c:numRef>
              <c:f>'Reference Standards'!$AD$496:$AF$496</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11-682D-4C68-BD58-19D433AF2EBF}"/>
            </c:ext>
          </c:extLst>
        </c:ser>
        <c:ser>
          <c:idx val="1"/>
          <c:order val="3"/>
          <c:tx>
            <c:strRef>
              <c:f>'Reference Standards'!$AA$495</c:f>
              <c:strCache>
                <c:ptCount val="1"/>
                <c:pt idx="0">
                  <c:v>71fg / DA &lt;= 2.5</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6.800501664336058E-3"/>
                  <c:y val="-0.1576487658343911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Standards'!$AB$495:$AD$495</c:f>
              <c:numCache>
                <c:formatCode>General</c:formatCode>
                <c:ptCount val="3"/>
                <c:pt idx="0">
                  <c:v>0.63100000000000001</c:v>
                </c:pt>
                <c:pt idx="2">
                  <c:v>0.17</c:v>
                </c:pt>
              </c:numCache>
            </c:numRef>
          </c:xVal>
          <c:yVal>
            <c:numRef>
              <c:f>'Reference Standards'!$AB$496:$AD$496</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5-682D-4C68-BD58-19D433AF2EBF}"/>
            </c:ext>
          </c:extLst>
        </c:ser>
        <c:ser>
          <c:idx val="5"/>
          <c:order val="4"/>
          <c:tx>
            <c:strRef>
              <c:f>'Reference Standards'!$AA$495</c:f>
              <c:strCache>
                <c:ptCount val="1"/>
                <c:pt idx="0">
                  <c:v>71fg / DA &lt;= 2.5</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14058448921367822"/>
                  <c:y val="-0.2029074796327975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Standards'!$AD$495:$AF$495</c:f>
              <c:numCache>
                <c:formatCode>General</c:formatCode>
                <c:ptCount val="3"/>
                <c:pt idx="0">
                  <c:v>0.17</c:v>
                </c:pt>
                <c:pt idx="2">
                  <c:v>6.0000000000000001E-3</c:v>
                </c:pt>
              </c:numCache>
            </c:numRef>
          </c:xVal>
          <c:yVal>
            <c:numRef>
              <c:f>'Reference Standards'!$AD$496:$AF$496</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12-682D-4C68-BD58-19D433AF2EBF}"/>
            </c:ext>
          </c:extLst>
        </c:ser>
        <c:ser>
          <c:idx val="3"/>
          <c:order val="5"/>
          <c:tx>
            <c:v>69de, 68ac, 71fg Functioning</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8.1690986975515745E-2"/>
                  <c:y val="-0.1884813481376862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Standards'!$AF$493:$AG$493</c:f>
              <c:numCache>
                <c:formatCode>General</c:formatCode>
                <c:ptCount val="2"/>
                <c:pt idx="0">
                  <c:v>6.0000000000000001E-3</c:v>
                </c:pt>
                <c:pt idx="1">
                  <c:v>3.0000000000000001E-3</c:v>
                </c:pt>
              </c:numCache>
            </c:numRef>
          </c:xVal>
          <c:yVal>
            <c:numRef>
              <c:f>'Reference Standards'!$AF$496:$AG$496</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7-682D-4C68-BD58-19D433AF2EBF}"/>
            </c:ext>
          </c:extLst>
        </c:ser>
        <c:dLbls>
          <c:showLegendKey val="0"/>
          <c:showVal val="0"/>
          <c:showCatName val="0"/>
          <c:showSerName val="0"/>
          <c:showPercent val="0"/>
          <c:showBubbleSize val="0"/>
        </c:dLbls>
        <c:axId val="377462128"/>
        <c:axId val="377462520"/>
      </c:scatterChart>
      <c:valAx>
        <c:axId val="3774621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2520"/>
        <c:crosses val="autoZero"/>
        <c:crossBetween val="midCat"/>
      </c:valAx>
      <c:valAx>
        <c:axId val="377462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212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Phosphorous, DA &lt;= 2.5 sq.mi. - Plot 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Standards'!$AA$529</c:f>
              <c:strCache>
                <c:ptCount val="1"/>
                <c:pt idx="0">
                  <c:v>71e / DA &lt;= 2.5</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11603620551723065"/>
                  <c:y val="-0.7588523125845808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Standards'!$AB$529:$AF$529</c:f>
              <c:numCache>
                <c:formatCode>General</c:formatCode>
                <c:ptCount val="5"/>
                <c:pt idx="0">
                  <c:v>1.23</c:v>
                </c:pt>
                <c:pt idx="2">
                  <c:v>0.44700000000000001</c:v>
                </c:pt>
                <c:pt idx="4">
                  <c:v>6.0000000000000001E-3</c:v>
                </c:pt>
              </c:numCache>
            </c:numRef>
          </c:xVal>
          <c:yVal>
            <c:numRef>
              <c:f>'Reference Standards'!$AB$533:$AF$533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C-6554-4CD2-B47A-EFCDC50764DC}"/>
            </c:ext>
          </c:extLst>
        </c:ser>
        <c:ser>
          <c:idx val="4"/>
          <c:order val="1"/>
          <c:tx>
            <c:strRef>
              <c:f>'Reference Standards'!$AA$529</c:f>
              <c:strCache>
                <c:ptCount val="1"/>
                <c:pt idx="0">
                  <c:v>71e / DA &lt;= 2.5</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56993711843383077"/>
                  <c:y val="-0.2001552071730808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Standards'!$AF$529:$AG$529</c:f>
              <c:numCache>
                <c:formatCode>General</c:formatCode>
                <c:ptCount val="2"/>
                <c:pt idx="0">
                  <c:v>6.0000000000000001E-3</c:v>
                </c:pt>
                <c:pt idx="1">
                  <c:v>4.0000000000000001E-3</c:v>
                </c:pt>
              </c:numCache>
            </c:numRef>
          </c:xVal>
          <c:yVal>
            <c:numRef>
              <c:f>'Reference Standards'!$AF$533:$AG$533</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14-6554-4CD2-B47A-EFCDC50764DC}"/>
            </c:ext>
          </c:extLst>
        </c:ser>
        <c:ser>
          <c:idx val="1"/>
          <c:order val="2"/>
          <c:tx>
            <c:strRef>
              <c:f>'Reference Standards'!$AA$530</c:f>
              <c:strCache>
                <c:ptCount val="1"/>
                <c:pt idx="0">
                  <c:v>67g / DA &lt;= 2.5</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24507296092654723"/>
                  <c:y val="-0.6829722288545163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Standards'!$AB$530:$AF$530</c:f>
              <c:numCache>
                <c:formatCode>General</c:formatCode>
                <c:ptCount val="5"/>
                <c:pt idx="0">
                  <c:v>0.11</c:v>
                </c:pt>
                <c:pt idx="2">
                  <c:v>5.0999999999999997E-2</c:v>
                </c:pt>
                <c:pt idx="4">
                  <c:v>1.0999999999999999E-2</c:v>
                </c:pt>
              </c:numCache>
            </c:numRef>
          </c:xVal>
          <c:yVal>
            <c:numRef>
              <c:f>'Reference Standards'!$AB$533:$AF$533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D-6554-4CD2-B47A-EFCDC50764DC}"/>
            </c:ext>
          </c:extLst>
        </c:ser>
        <c:ser>
          <c:idx val="5"/>
          <c:order val="3"/>
          <c:tx>
            <c:strRef>
              <c:f>'Reference Standards'!$AA$530</c:f>
              <c:strCache>
                <c:ptCount val="1"/>
                <c:pt idx="0">
                  <c:v>67g / DA &lt;= 2.5</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0.56613753764427199"/>
                  <c:y val="-0.133030517719562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Standards'!$AF$530:$AG$530</c:f>
              <c:numCache>
                <c:formatCode>General</c:formatCode>
                <c:ptCount val="2"/>
                <c:pt idx="0">
                  <c:v>1.0999999999999999E-2</c:v>
                </c:pt>
                <c:pt idx="1">
                  <c:v>6.0000000000000001E-3</c:v>
                </c:pt>
              </c:numCache>
            </c:numRef>
          </c:xVal>
          <c:yVal>
            <c:numRef>
              <c:f>'Reference Standards'!$AF$533:$AG$533</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15-6554-4CD2-B47A-EFCDC50764DC}"/>
            </c:ext>
          </c:extLst>
        </c:ser>
        <c:ser>
          <c:idx val="2"/>
          <c:order val="4"/>
          <c:tx>
            <c:strRef>
              <c:f>'Reference Standards'!$AA$531</c:f>
              <c:strCache>
                <c:ptCount val="1"/>
                <c:pt idx="0">
                  <c:v>65j / DA &lt;= 2.5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23747379934742949"/>
                  <c:y val="-0.6070921451244518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Standards'!$AB$531:$AF$531</c:f>
              <c:numCache>
                <c:formatCode>General</c:formatCode>
                <c:ptCount val="5"/>
                <c:pt idx="0">
                  <c:v>4.5999999999999999E-2</c:v>
                </c:pt>
                <c:pt idx="2">
                  <c:v>0.03</c:v>
                </c:pt>
                <c:pt idx="4">
                  <c:v>1.2E-2</c:v>
                </c:pt>
              </c:numCache>
            </c:numRef>
          </c:xVal>
          <c:yVal>
            <c:numRef>
              <c:f>'Reference Standards'!$AB$533:$AF$533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E-6554-4CD2-B47A-EFCDC50764DC}"/>
            </c:ext>
          </c:extLst>
        </c:ser>
        <c:ser>
          <c:idx val="6"/>
          <c:order val="5"/>
          <c:tx>
            <c:strRef>
              <c:f>'Reference Standards'!$AA$531</c:f>
              <c:strCache>
                <c:ptCount val="1"/>
                <c:pt idx="0">
                  <c:v>65j / DA &lt;= 2.5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56613753764427199"/>
                  <c:y val="-5.7150433989497665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bg2">
                          <a:lumMod val="25000"/>
                        </a:schemeClr>
                      </a:solidFill>
                      <a:latin typeface="+mn-lt"/>
                      <a:ea typeface="+mn-ea"/>
                      <a:cs typeface="+mn-cs"/>
                    </a:defRPr>
                  </a:pPr>
                  <a:endParaRPr lang="en-US"/>
                </a:p>
              </c:txPr>
            </c:trendlineLbl>
          </c:trendline>
          <c:xVal>
            <c:numRef>
              <c:f>'Reference Standards'!$AF$531:$AG$531</c:f>
              <c:numCache>
                <c:formatCode>General</c:formatCode>
                <c:ptCount val="2"/>
                <c:pt idx="0">
                  <c:v>1.2E-2</c:v>
                </c:pt>
                <c:pt idx="1">
                  <c:v>7.0000000000000001E-3</c:v>
                </c:pt>
              </c:numCache>
            </c:numRef>
          </c:xVal>
          <c:yVal>
            <c:numRef>
              <c:f>'Reference Standards'!$AF$533:$AG$533</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16-6554-4CD2-B47A-EFCDC50764DC}"/>
            </c:ext>
          </c:extLst>
        </c:ser>
        <c:ser>
          <c:idx val="3"/>
          <c:order val="6"/>
          <c:tx>
            <c:strRef>
              <c:f>'Reference Standards'!$AA$532</c:f>
              <c:strCache>
                <c:ptCount val="1"/>
                <c:pt idx="0">
                  <c:v>66f / DA &lt;= 2.5</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24507296092654723"/>
                  <c:y val="-0.5137012728412955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Standards'!$AB$532:$AF$532</c:f>
              <c:numCache>
                <c:formatCode>General</c:formatCode>
                <c:ptCount val="5"/>
                <c:pt idx="0">
                  <c:v>8.1000000000000003E-2</c:v>
                </c:pt>
                <c:pt idx="2">
                  <c:v>4.2000000000000003E-2</c:v>
                </c:pt>
                <c:pt idx="4">
                  <c:v>1.0999999999999999E-2</c:v>
                </c:pt>
              </c:numCache>
            </c:numRef>
          </c:xVal>
          <c:yVal>
            <c:numRef>
              <c:f>'Reference Standards'!$AB$533:$AF$533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F-6554-4CD2-B47A-EFCDC50764DC}"/>
            </c:ext>
          </c:extLst>
        </c:ser>
        <c:ser>
          <c:idx val="7"/>
          <c:order val="7"/>
          <c:tx>
            <c:strRef>
              <c:f>'Reference Standards'!$AA$532</c:f>
              <c:strCache>
                <c:ptCount val="1"/>
                <c:pt idx="0">
                  <c:v>66f / DA &lt;= 2.5</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0.56423774724949249"/>
                  <c:y val="3.6240438293658681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Standards'!$AF$532:$AG$532</c:f>
              <c:numCache>
                <c:formatCode>General</c:formatCode>
                <c:ptCount val="2"/>
                <c:pt idx="0">
                  <c:v>1.0999999999999999E-2</c:v>
                </c:pt>
                <c:pt idx="1">
                  <c:v>8.0000000000000002E-3</c:v>
                </c:pt>
              </c:numCache>
            </c:numRef>
          </c:xVal>
          <c:yVal>
            <c:numRef>
              <c:f>'Reference Standards'!$AF$533:$AG$533</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17-6554-4CD2-B47A-EFCDC50764DC}"/>
            </c:ext>
          </c:extLst>
        </c:ser>
        <c:dLbls>
          <c:showLegendKey val="0"/>
          <c:showVal val="0"/>
          <c:showCatName val="0"/>
          <c:showSerName val="0"/>
          <c:showPercent val="0"/>
          <c:showBubbleSize val="0"/>
        </c:dLbls>
        <c:axId val="377465264"/>
        <c:axId val="377459384"/>
      </c:scatterChart>
      <c:valAx>
        <c:axId val="3774652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59384"/>
        <c:crosses val="autoZero"/>
        <c:crossBetween val="midCat"/>
      </c:valAx>
      <c:valAx>
        <c:axId val="377459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526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Phosphorous, DA &lt;= 2.5 sq.mi. - Plot 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Standards'!$AA$567</c:f>
              <c:strCache>
                <c:ptCount val="1"/>
                <c:pt idx="0">
                  <c:v>71hi / DA &lt;= 2.5</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ly"/>
            <c:order val="2"/>
            <c:dispRSqr val="0"/>
            <c:dispEq val="1"/>
            <c:trendlineLbl>
              <c:layout>
                <c:manualLayout>
                  <c:x val="0.22817799031495833"/>
                  <c:y val="-0.7549241128889713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Standards'!$AB$567:$AD$567</c:f>
              <c:numCache>
                <c:formatCode>General</c:formatCode>
                <c:ptCount val="3"/>
                <c:pt idx="0">
                  <c:v>0.37</c:v>
                </c:pt>
                <c:pt idx="2">
                  <c:v>0.3</c:v>
                </c:pt>
              </c:numCache>
            </c:numRef>
          </c:xVal>
          <c:yVal>
            <c:numRef>
              <c:f>'Reference Standards'!$AB$571:$AD$571</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1-CDC4-4C49-8636-1AD4847630A1}"/>
            </c:ext>
          </c:extLst>
        </c:ser>
        <c:ser>
          <c:idx val="9"/>
          <c:order val="1"/>
          <c:tx>
            <c:strRef>
              <c:f>'Reference Standards'!$AA$567</c:f>
              <c:strCache>
                <c:ptCount val="1"/>
                <c:pt idx="0">
                  <c:v>71hi / DA &lt;= 2.5</c:v>
                </c:pt>
              </c:strCache>
            </c:strRef>
          </c:tx>
          <c:spPr>
            <a:ln w="25400" cap="rnd">
              <a:noFill/>
              <a:round/>
            </a:ln>
            <a:effectLst/>
          </c:spPr>
          <c:marker>
            <c:symbol val="circle"/>
            <c:size val="5"/>
            <c:spPr>
              <a:solidFill>
                <a:schemeClr val="accent4">
                  <a:lumMod val="60000"/>
                </a:schemeClr>
              </a:solidFill>
              <a:ln w="9525">
                <a:solidFill>
                  <a:schemeClr val="accent4">
                    <a:lumMod val="60000"/>
                  </a:schemeClr>
                </a:solidFill>
              </a:ln>
              <a:effectLst/>
            </c:spPr>
          </c:marker>
          <c:trendline>
            <c:spPr>
              <a:ln w="19050" cap="rnd">
                <a:solidFill>
                  <a:schemeClr val="accent4">
                    <a:lumMod val="60000"/>
                  </a:schemeClr>
                </a:solidFill>
                <a:prstDash val="sysDot"/>
              </a:ln>
              <a:effectLst/>
            </c:spPr>
            <c:trendlineType val="linear"/>
            <c:dispRSqr val="0"/>
            <c:dispEq val="1"/>
            <c:trendlineLbl>
              <c:layout>
                <c:manualLayout>
                  <c:x val="0.31211701272769804"/>
                  <c:y val="-0.476321476880817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lumMod val="50000"/>
                        </a:schemeClr>
                      </a:solidFill>
                      <a:latin typeface="+mn-lt"/>
                      <a:ea typeface="+mn-ea"/>
                      <a:cs typeface="+mn-cs"/>
                    </a:defRPr>
                  </a:pPr>
                  <a:endParaRPr lang="en-US"/>
                </a:p>
              </c:txPr>
            </c:trendlineLbl>
          </c:trendline>
          <c:xVal>
            <c:numRef>
              <c:f>'Reference Standards'!$AD$567:$AF$567</c:f>
              <c:numCache>
                <c:formatCode>General</c:formatCode>
                <c:ptCount val="3"/>
                <c:pt idx="0">
                  <c:v>0.3</c:v>
                </c:pt>
                <c:pt idx="2">
                  <c:v>3.2000000000000001E-2</c:v>
                </c:pt>
              </c:numCache>
            </c:numRef>
          </c:xVal>
          <c:yVal>
            <c:numRef>
              <c:f>'Reference Standards'!$AD$571:$AF$571</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12-CDC4-4C49-8636-1AD4847630A1}"/>
            </c:ext>
          </c:extLst>
        </c:ser>
        <c:ser>
          <c:idx val="4"/>
          <c:order val="2"/>
          <c:tx>
            <c:strRef>
              <c:f>'Reference Standards'!$AA$567</c:f>
              <c:strCache>
                <c:ptCount val="1"/>
                <c:pt idx="0">
                  <c:v>71hi / DA &lt;= 2.5</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linear"/>
            <c:dispRSqr val="0"/>
            <c:dispEq val="1"/>
            <c:trendlineLbl>
              <c:layout>
                <c:manualLayout>
                  <c:x val="0.56803732803905127"/>
                  <c:y val="-8.5451051463492633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Standards'!$AF$567:$AG$567</c:f>
              <c:numCache>
                <c:formatCode>General</c:formatCode>
                <c:ptCount val="2"/>
                <c:pt idx="0">
                  <c:v>3.2000000000000001E-2</c:v>
                </c:pt>
                <c:pt idx="1">
                  <c:v>1.2999999999999999E-2</c:v>
                </c:pt>
              </c:numCache>
            </c:numRef>
          </c:xVal>
          <c:yVal>
            <c:numRef>
              <c:f>'Reference Standards'!$AF$571:$AG$571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3-CDC4-4C49-8636-1AD4847630A1}"/>
            </c:ext>
          </c:extLst>
        </c:ser>
        <c:ser>
          <c:idx val="1"/>
          <c:order val="3"/>
          <c:tx>
            <c:strRef>
              <c:f>'Reference Standards'!$AA$568</c:f>
              <c:strCache>
                <c:ptCount val="1"/>
                <c:pt idx="0">
                  <c:v>74b / DA &lt;= 2.5</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0.12429341260395743"/>
                  <c:y val="-0.5761612433237940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Standards'!$AB$568:$AF$568</c:f>
              <c:numCache>
                <c:formatCode>General</c:formatCode>
                <c:ptCount val="5"/>
                <c:pt idx="0">
                  <c:v>0.43</c:v>
                </c:pt>
                <c:pt idx="2">
                  <c:v>0.28000000000000003</c:v>
                </c:pt>
                <c:pt idx="4">
                  <c:v>0.02</c:v>
                </c:pt>
              </c:numCache>
            </c:numRef>
          </c:xVal>
          <c:yVal>
            <c:numRef>
              <c:f>'Reference Standards'!$AB$571:$AF$571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5-CDC4-4C49-8636-1AD4847630A1}"/>
            </c:ext>
          </c:extLst>
        </c:ser>
        <c:ser>
          <c:idx val="5"/>
          <c:order val="4"/>
          <c:tx>
            <c:strRef>
              <c:f>'Reference Standards'!$AA$568</c:f>
              <c:strCache>
                <c:ptCount val="1"/>
                <c:pt idx="0">
                  <c:v>74b / DA &lt;= 2.5</c:v>
                </c:pt>
              </c:strCache>
            </c:strRef>
          </c:tx>
          <c:spPr>
            <a:ln w="25400" cap="rnd">
              <a:noFill/>
              <a:round/>
            </a:ln>
            <a:effectLst/>
          </c:spPr>
          <c:marker>
            <c:symbol val="circle"/>
            <c:size val="5"/>
            <c:spPr>
              <a:solidFill>
                <a:schemeClr val="accent2"/>
              </a:solidFill>
              <a:ln w="9525">
                <a:solidFill>
                  <a:schemeClr val="accent2"/>
                </a:solidFill>
              </a:ln>
              <a:effectLst/>
            </c:spPr>
          </c:marker>
          <c:xVal>
            <c:numRef>
              <c:f>'Reference Standards'!$AF$568:$AG$568</c:f>
              <c:numCache>
                <c:formatCode>General</c:formatCode>
                <c:ptCount val="2"/>
                <c:pt idx="0">
                  <c:v>0.02</c:v>
                </c:pt>
                <c:pt idx="1">
                  <c:v>1.7999999999999999E-2</c:v>
                </c:pt>
              </c:numCache>
            </c:numRef>
          </c:xVal>
          <c:yVal>
            <c:numRef>
              <c:f>'Reference Standards'!$AF$571:$AG$571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7-CDC4-4C49-8636-1AD4847630A1}"/>
            </c:ext>
          </c:extLst>
        </c:ser>
        <c:ser>
          <c:idx val="2"/>
          <c:order val="5"/>
          <c:tx>
            <c:strRef>
              <c:f>'Reference Standards'!$AA$569</c:f>
              <c:strCache>
                <c:ptCount val="1"/>
                <c:pt idx="0">
                  <c:v>74a / DA &lt;= 2.5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43260620725845589"/>
                  <c:y val="-0.4472175341292399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Standards'!$AB$569:$AF$569</c:f>
              <c:numCache>
                <c:formatCode>General</c:formatCode>
                <c:ptCount val="5"/>
                <c:pt idx="0">
                  <c:v>0.217</c:v>
                </c:pt>
                <c:pt idx="2">
                  <c:v>0.12</c:v>
                </c:pt>
                <c:pt idx="4">
                  <c:v>3.3000000000000002E-2</c:v>
                </c:pt>
              </c:numCache>
            </c:numRef>
          </c:xVal>
          <c:yVal>
            <c:numRef>
              <c:f>'Reference Standards'!$AB$571:$AF$571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9-CDC4-4C49-8636-1AD4847630A1}"/>
            </c:ext>
          </c:extLst>
        </c:ser>
        <c:ser>
          <c:idx val="6"/>
          <c:order val="6"/>
          <c:tx>
            <c:strRef>
              <c:f>'Reference Standards'!$AA$569</c:f>
              <c:strCache>
                <c:ptCount val="1"/>
                <c:pt idx="0">
                  <c:v>74a / DA &lt;= 2.5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56043816645993361"/>
                  <c:y val="5.8145351957715322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bg2">
                          <a:lumMod val="25000"/>
                        </a:schemeClr>
                      </a:solidFill>
                      <a:latin typeface="+mn-lt"/>
                      <a:ea typeface="+mn-ea"/>
                      <a:cs typeface="+mn-cs"/>
                    </a:defRPr>
                  </a:pPr>
                  <a:endParaRPr lang="en-US"/>
                </a:p>
              </c:txPr>
            </c:trendlineLbl>
          </c:trendline>
          <c:xVal>
            <c:numRef>
              <c:f>'Reference Standards'!$AF$569:$AG$569</c:f>
              <c:numCache>
                <c:formatCode>General</c:formatCode>
                <c:ptCount val="2"/>
                <c:pt idx="0">
                  <c:v>3.3000000000000002E-2</c:v>
                </c:pt>
                <c:pt idx="1">
                  <c:v>0.02</c:v>
                </c:pt>
              </c:numCache>
            </c:numRef>
          </c:xVal>
          <c:yVal>
            <c:numRef>
              <c:f>'Reference Standards'!$AF$571:$AG$571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B-CDC4-4C49-8636-1AD4847630A1}"/>
            </c:ext>
          </c:extLst>
        </c:ser>
        <c:ser>
          <c:idx val="3"/>
          <c:order val="7"/>
          <c:tx>
            <c:strRef>
              <c:f>'Reference Standards'!$AA$570</c:f>
              <c:strCache>
                <c:ptCount val="1"/>
                <c:pt idx="0">
                  <c:v>73a / DA &lt;= 2.5</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12406124924232768"/>
                  <c:y val="-0.3915372960679552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Standards'!$AB$570:$AD$570</c:f>
              <c:numCache>
                <c:formatCode>General</c:formatCode>
                <c:ptCount val="3"/>
                <c:pt idx="0">
                  <c:v>0.44800000000000001</c:v>
                </c:pt>
                <c:pt idx="2">
                  <c:v>0.16500000000000001</c:v>
                </c:pt>
              </c:numCache>
            </c:numRef>
          </c:xVal>
          <c:yVal>
            <c:numRef>
              <c:f>'Reference Standards'!$AB$571:$AD$571</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D-CDC4-4C49-8636-1AD4847630A1}"/>
            </c:ext>
          </c:extLst>
        </c:ser>
        <c:ser>
          <c:idx val="7"/>
          <c:order val="8"/>
          <c:tx>
            <c:strRef>
              <c:f>'Reference Standards'!$AA$570</c:f>
              <c:strCache>
                <c:ptCount val="1"/>
                <c:pt idx="0">
                  <c:v>73a / DA &lt;= 2.5</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50371745599217832"/>
                  <c:y val="-0.1217262765957937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Standards'!$AD$570:$AF$570</c:f>
              <c:numCache>
                <c:formatCode>General</c:formatCode>
                <c:ptCount val="3"/>
                <c:pt idx="0">
                  <c:v>0.16500000000000001</c:v>
                </c:pt>
                <c:pt idx="2">
                  <c:v>8.5999999999999993E-2</c:v>
                </c:pt>
              </c:numCache>
            </c:numRef>
          </c:xVal>
          <c:yVal>
            <c:numRef>
              <c:f>'Reference Standards'!$AD$571:$AF$571</c:f>
              <c:numCache>
                <c:formatCode>General</c:formatCode>
                <c:ptCount val="3"/>
                <c:pt idx="0">
                  <c:v>0.3</c:v>
                </c:pt>
                <c:pt idx="1">
                  <c:v>0.69</c:v>
                </c:pt>
                <c:pt idx="2">
                  <c:v>0.7</c:v>
                </c:pt>
              </c:numCache>
            </c:numRef>
          </c:yVal>
          <c:smooth val="0"/>
          <c:extLst xmlns:c16r2="http://schemas.microsoft.com/office/drawing/2015/06/chart">
            <c:ext xmlns:c16="http://schemas.microsoft.com/office/drawing/2014/chart" uri="{C3380CC4-5D6E-409C-BE32-E72D297353CC}">
              <c16:uniqueId val="{0000000F-CDC4-4C49-8636-1AD4847630A1}"/>
            </c:ext>
          </c:extLst>
        </c:ser>
        <c:ser>
          <c:idx val="8"/>
          <c:order val="9"/>
          <c:tx>
            <c:strRef>
              <c:f>'Reference Standards'!$AA$570</c:f>
              <c:strCache>
                <c:ptCount val="1"/>
                <c:pt idx="0">
                  <c:v>73a / DA &lt;= 2.5</c:v>
                </c:pt>
              </c:strCache>
            </c:strRef>
          </c:tx>
          <c:spPr>
            <a:ln w="25400" cap="rnd">
              <a:noFill/>
              <a:round/>
            </a:ln>
            <a:effectLst/>
          </c:spPr>
          <c:marker>
            <c:symbol val="circle"/>
            <c:size val="5"/>
            <c:spPr>
              <a:solidFill>
                <a:schemeClr val="accent3">
                  <a:lumMod val="60000"/>
                </a:schemeClr>
              </a:solidFill>
              <a:ln w="9525">
                <a:solidFill>
                  <a:schemeClr val="accent3">
                    <a:lumMod val="60000"/>
                  </a:schemeClr>
                </a:solidFill>
              </a:ln>
              <a:effectLst/>
            </c:spPr>
          </c:marker>
          <c:trendline>
            <c:spPr>
              <a:ln w="19050" cap="rnd">
                <a:solidFill>
                  <a:schemeClr val="accent3">
                    <a:lumMod val="60000"/>
                  </a:schemeClr>
                </a:solidFill>
                <a:prstDash val="sysDot"/>
              </a:ln>
              <a:effectLst/>
            </c:spPr>
            <c:trendlineType val="linear"/>
            <c:dispRSqr val="0"/>
            <c:dispEq val="1"/>
            <c:trendlineLbl>
              <c:layout>
                <c:manualLayout>
                  <c:x val="0.60793427263757316"/>
                  <c:y val="0.2544914545948772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Standards'!$AF$570:$AG$570</c:f>
              <c:numCache>
                <c:formatCode>General</c:formatCode>
                <c:ptCount val="2"/>
                <c:pt idx="0">
                  <c:v>8.5999999999999993E-2</c:v>
                </c:pt>
                <c:pt idx="1">
                  <c:v>7.0999999999999994E-2</c:v>
                </c:pt>
              </c:numCache>
            </c:numRef>
          </c:xVal>
          <c:yVal>
            <c:numRef>
              <c:f>'Reference Standards'!$AF$571:$AG$571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10-CDC4-4C49-8636-1AD4847630A1}"/>
            </c:ext>
          </c:extLst>
        </c:ser>
        <c:dLbls>
          <c:showLegendKey val="0"/>
          <c:showVal val="0"/>
          <c:showCatName val="0"/>
          <c:showSerName val="0"/>
          <c:showPercent val="0"/>
          <c:showBubbleSize val="0"/>
        </c:dLbls>
        <c:axId val="377460168"/>
        <c:axId val="377464088"/>
      </c:scatterChart>
      <c:valAx>
        <c:axId val="3774601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4088"/>
        <c:crosses val="autoZero"/>
        <c:crossBetween val="midCat"/>
      </c:valAx>
      <c:valAx>
        <c:axId val="377464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01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Nitrate-Nitrite, DA &lt;=2.5 sq.mi. - Plot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Standards'!$AA$118</c:f>
              <c:strCache>
                <c:ptCount val="1"/>
                <c:pt idx="0">
                  <c:v>71f / DA &lt;=2.5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12718281691194666"/>
                  <c:y val="-0.7022006635804852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trendlineLbl>
          </c:trendline>
          <c:xVal>
            <c:numRef>
              <c:f>'Reference Standards'!$AB$118:$AF$118</c:f>
              <c:numCache>
                <c:formatCode>General</c:formatCode>
                <c:ptCount val="5"/>
                <c:pt idx="0">
                  <c:v>3</c:v>
                </c:pt>
                <c:pt idx="2">
                  <c:v>1.7</c:v>
                </c:pt>
                <c:pt idx="4">
                  <c:v>0.01</c:v>
                </c:pt>
              </c:numCache>
            </c:numRef>
          </c:xVal>
          <c:yVal>
            <c:numRef>
              <c:f>'Reference Standards'!$AB$122:$AF$122</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8D5F-4D76-A457-4A3F46F18242}"/>
            </c:ext>
          </c:extLst>
        </c:ser>
        <c:ser>
          <c:idx val="4"/>
          <c:order val="1"/>
          <c:tx>
            <c:strRef>
              <c:f>'Reference Standards'!$AA$119</c:f>
              <c:strCache>
                <c:ptCount val="1"/>
                <c:pt idx="0">
                  <c:v>74a / DA &lt;=2.5 </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39011754837385526"/>
                  <c:y val="-0.5994342082581466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Standards'!$AB$119:$AF$119</c:f>
              <c:numCache>
                <c:formatCode>General</c:formatCode>
                <c:ptCount val="5"/>
                <c:pt idx="0">
                  <c:v>0.14000000000000001</c:v>
                </c:pt>
                <c:pt idx="2">
                  <c:v>0.11</c:v>
                </c:pt>
                <c:pt idx="4">
                  <c:v>0.02</c:v>
                </c:pt>
              </c:numCache>
            </c:numRef>
          </c:xVal>
          <c:yVal>
            <c:numRef>
              <c:f>'Reference Standards'!$AB$122:$AF$122</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D-8D5F-4D76-A457-4A3F46F18242}"/>
            </c:ext>
          </c:extLst>
        </c:ser>
        <c:ser>
          <c:idx val="6"/>
          <c:order val="2"/>
          <c:tx>
            <c:strRef>
              <c:f>'Reference Standards'!$AA$120</c:f>
              <c:strCache>
                <c:ptCount val="1"/>
                <c:pt idx="0">
                  <c:v>67fghi / DA &lt;=2.5 </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ly"/>
            <c:order val="2"/>
            <c:dispRSqr val="0"/>
            <c:dispEq val="1"/>
            <c:trendlineLbl>
              <c:layout>
                <c:manualLayout>
                  <c:x val="0.2796044355985996"/>
                  <c:y val="-0.4842112128967365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Standards'!$AB$120:$AF$120</c:f>
              <c:numCache>
                <c:formatCode>General</c:formatCode>
                <c:ptCount val="5"/>
                <c:pt idx="0">
                  <c:v>1.9</c:v>
                </c:pt>
                <c:pt idx="2">
                  <c:v>1.4</c:v>
                </c:pt>
                <c:pt idx="4">
                  <c:v>0.05</c:v>
                </c:pt>
              </c:numCache>
            </c:numRef>
          </c:xVal>
          <c:yVal>
            <c:numRef>
              <c:f>'Reference Standards'!$AB$122:$AF$122</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9-8D5F-4D76-A457-4A3F46F18242}"/>
            </c:ext>
          </c:extLst>
        </c:ser>
        <c:ser>
          <c:idx val="1"/>
          <c:order val="3"/>
          <c:tx>
            <c:strRef>
              <c:f>'Reference Standards'!$AA$120</c:f>
              <c:strCache>
                <c:ptCount val="1"/>
                <c:pt idx="0">
                  <c:v>67fghi / DA &lt;=2.5 </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28114616614652138"/>
                  <c:y val="1.8274823150234456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Standards'!$AF$120:$AG$120</c:f>
              <c:numCache>
                <c:formatCode>General</c:formatCode>
                <c:ptCount val="2"/>
                <c:pt idx="0">
                  <c:v>0.05</c:v>
                </c:pt>
                <c:pt idx="1">
                  <c:v>0.01</c:v>
                </c:pt>
              </c:numCache>
            </c:numRef>
          </c:xVal>
          <c:yVal>
            <c:numRef>
              <c:f>'Reference Standards'!$AF$122:$AG$122</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E-8D5F-4D76-A457-4A3F46F18242}"/>
            </c:ext>
          </c:extLst>
        </c:ser>
        <c:ser>
          <c:idx val="3"/>
          <c:order val="4"/>
          <c:tx>
            <c:strRef>
              <c:f>'Reference Standards'!$AA$121</c:f>
              <c:strCache>
                <c:ptCount val="1"/>
                <c:pt idx="0">
                  <c:v>73a / DA &lt;=2.5 </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37486155486202849"/>
                  <c:y val="-0.3627599475157908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Standards'!$AB$121:$AF$121</c:f>
              <c:numCache>
                <c:formatCode>General</c:formatCode>
                <c:ptCount val="5"/>
                <c:pt idx="0">
                  <c:v>1.44</c:v>
                </c:pt>
                <c:pt idx="2">
                  <c:v>0.86</c:v>
                </c:pt>
                <c:pt idx="4">
                  <c:v>0.12</c:v>
                </c:pt>
              </c:numCache>
            </c:numRef>
          </c:xVal>
          <c:yVal>
            <c:numRef>
              <c:f>'Reference Standards'!$AB$122:$AF$122</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B-8D5F-4D76-A457-4A3F46F18242}"/>
            </c:ext>
          </c:extLst>
        </c:ser>
        <c:ser>
          <c:idx val="2"/>
          <c:order val="5"/>
          <c:tx>
            <c:strRef>
              <c:f>'Reference Standards'!$AA$121</c:f>
              <c:strCache>
                <c:ptCount val="1"/>
                <c:pt idx="0">
                  <c:v>73a / DA &lt;=2.5 </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linear"/>
            <c:dispRSqr val="0"/>
            <c:dispEq val="1"/>
            <c:trendlineLbl>
              <c:layout>
                <c:manualLayout>
                  <c:x val="0.30511987023653481"/>
                  <c:y val="0.1303836835018767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Standards'!$AF$121:$AG$121</c:f>
              <c:numCache>
                <c:formatCode>General</c:formatCode>
                <c:ptCount val="2"/>
                <c:pt idx="0">
                  <c:v>0.12</c:v>
                </c:pt>
                <c:pt idx="1">
                  <c:v>0.01</c:v>
                </c:pt>
              </c:numCache>
            </c:numRef>
          </c:xVal>
          <c:yVal>
            <c:numRef>
              <c:f>'Reference Standards'!$AF$122:$AG$122</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10-8D5F-4D76-A457-4A3F46F18242}"/>
            </c:ext>
          </c:extLst>
        </c:ser>
        <c:dLbls>
          <c:showLegendKey val="0"/>
          <c:showVal val="0"/>
          <c:showCatName val="0"/>
          <c:showSerName val="0"/>
          <c:showPercent val="0"/>
          <c:showBubbleSize val="0"/>
        </c:dLbls>
        <c:axId val="377460952"/>
        <c:axId val="377461736"/>
      </c:scatterChart>
      <c:valAx>
        <c:axId val="377460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1736"/>
        <c:crosses val="autoZero"/>
        <c:crossBetween val="midCat"/>
      </c:valAx>
      <c:valAx>
        <c:axId val="377461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095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Pool Spacing Ratio for E4 Streams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v>Rising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8.1177199818048038E-2"/>
                  <c:y val="0.1087559021319216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Standards'!$S$319:$X$319</c:f>
              <c:numCache>
                <c:formatCode>General</c:formatCode>
                <c:ptCount val="6"/>
                <c:pt idx="0" formatCode="0.0">
                  <c:v>2.3078698361412417</c:v>
                </c:pt>
                <c:pt idx="2">
                  <c:v>3</c:v>
                </c:pt>
                <c:pt idx="3">
                  <c:v>3.9</c:v>
                </c:pt>
              </c:numCache>
            </c:numRef>
          </c:xVal>
          <c:yVal>
            <c:numRef>
              <c:f>'Reference Standards'!$S$321:$X$321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2D8B-439A-A86A-F9817A30EAA5}"/>
            </c:ext>
          </c:extLst>
        </c:ser>
        <c:ser>
          <c:idx val="0"/>
          <c:order val="1"/>
          <c:tx>
            <c:v>Falling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7.7967397278397119E-2"/>
                  <c:y val="-0.4590120188868221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Standards'!$S$320:$X$320</c:f>
              <c:numCache>
                <c:formatCode>General</c:formatCode>
                <c:ptCount val="6"/>
                <c:pt idx="0" formatCode="0.0">
                  <c:v>10.075735821966978</c:v>
                </c:pt>
                <c:pt idx="2">
                  <c:v>9</c:v>
                </c:pt>
                <c:pt idx="3">
                  <c:v>7.6</c:v>
                </c:pt>
              </c:numCache>
            </c:numRef>
          </c:xVal>
          <c:yVal>
            <c:numRef>
              <c:f>'Reference Standards'!$S$321:$X$321</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3-BA8E-42E9-A9A6-0DFFC3E86B26}"/>
            </c:ext>
          </c:extLst>
        </c:ser>
        <c:ser>
          <c:idx val="2"/>
          <c:order val="2"/>
          <c:tx>
            <c:v>Crest</c:v>
          </c:tx>
          <c:spPr>
            <a:ln w="25400" cap="rnd">
              <a:solidFill>
                <a:srgbClr val="FF0000"/>
              </a:solidFill>
              <a:round/>
            </a:ln>
            <a:effectLst/>
          </c:spPr>
          <c:marker>
            <c:symbol val="none"/>
          </c:marker>
          <c:xVal>
            <c:numLit>
              <c:formatCode>General</c:formatCode>
              <c:ptCount val="2"/>
              <c:pt idx="0">
                <c:v>4</c:v>
              </c:pt>
              <c:pt idx="1">
                <c:v>7.5</c:v>
              </c:pt>
            </c:numLit>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2-EE4A-41A9-9517-6AB00CBA5C9A}"/>
            </c:ext>
          </c:extLst>
        </c:ser>
        <c:dLbls>
          <c:showLegendKey val="0"/>
          <c:showVal val="0"/>
          <c:showCatName val="0"/>
          <c:showSerName val="0"/>
          <c:showPercent val="0"/>
          <c:showBubbleSize val="0"/>
        </c:dLbls>
        <c:axId val="373633352"/>
        <c:axId val="373634136"/>
      </c:scatterChart>
      <c:valAx>
        <c:axId val="373633352"/>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34136"/>
        <c:crosses val="autoZero"/>
        <c:crossBetween val="midCat"/>
      </c:valAx>
      <c:valAx>
        <c:axId val="373634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3335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Nitrate-Nitrite, DA &lt;=2.5 sq.mi. - Plot 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Standards'!$AA$154</c:f>
              <c:strCache>
                <c:ptCount val="1"/>
                <c:pt idx="0">
                  <c:v>66d / DA &lt;=2.5 </c:v>
                </c:pt>
              </c:strCache>
            </c:strRef>
          </c:tx>
          <c:spPr>
            <a:ln w="25400" cap="rnd">
              <a:noFill/>
              <a:round/>
            </a:ln>
            <a:effectLst/>
          </c:spPr>
          <c:marker>
            <c:symbol val="circle"/>
            <c:size val="5"/>
            <c:spPr>
              <a:solidFill>
                <a:schemeClr val="accent4"/>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39229697601840191"/>
                  <c:y val="-0.6873173541230747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trendlineLbl>
          </c:trendline>
          <c:xVal>
            <c:numRef>
              <c:f>'Reference Standards'!$AB$154:$AF$154</c:f>
              <c:numCache>
                <c:formatCode>General</c:formatCode>
                <c:ptCount val="5"/>
                <c:pt idx="0">
                  <c:v>0.46</c:v>
                </c:pt>
                <c:pt idx="2">
                  <c:v>0.25</c:v>
                </c:pt>
                <c:pt idx="4">
                  <c:v>0.08</c:v>
                </c:pt>
              </c:numCache>
            </c:numRef>
          </c:xVal>
          <c:yVal>
            <c:numRef>
              <c:f>'Reference Standards'!$AB$158:$AF$158</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1B5D-48A8-A044-041DDFA9A677}"/>
            </c:ext>
          </c:extLst>
        </c:ser>
        <c:ser>
          <c:idx val="5"/>
          <c:order val="1"/>
          <c:tx>
            <c:strRef>
              <c:f>'Reference Standards'!$AA$154</c:f>
              <c:strCache>
                <c:ptCount val="1"/>
                <c:pt idx="0">
                  <c:v>66d / DA &lt;=2.5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2571724620565079"/>
                  <c:y val="-0.203016580771316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Standards'!$AF$154:$AG$154</c:f>
              <c:numCache>
                <c:formatCode>General</c:formatCode>
                <c:ptCount val="2"/>
                <c:pt idx="0">
                  <c:v>0.08</c:v>
                </c:pt>
                <c:pt idx="1">
                  <c:v>0.02</c:v>
                </c:pt>
              </c:numCache>
            </c:numRef>
          </c:xVal>
          <c:yVal>
            <c:numRef>
              <c:f>'Reference Standards'!$AF$158:$AG$158</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C-1B5D-48A8-A044-041DDFA9A677}"/>
            </c:ext>
          </c:extLst>
        </c:ser>
        <c:ser>
          <c:idx val="4"/>
          <c:order val="2"/>
          <c:tx>
            <c:strRef>
              <c:f>'Reference Standards'!$AA$155</c:f>
              <c:strCache>
                <c:ptCount val="1"/>
                <c:pt idx="0">
                  <c:v>71ghi / DA &lt;=2.5 </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28905748849622581"/>
                  <c:y val="-0.600312834585715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Standards'!$AB$155:$AF$155</c:f>
              <c:numCache>
                <c:formatCode>General</c:formatCode>
                <c:ptCount val="5"/>
                <c:pt idx="0">
                  <c:v>3</c:v>
                </c:pt>
                <c:pt idx="2">
                  <c:v>2.1</c:v>
                </c:pt>
                <c:pt idx="4">
                  <c:v>0.24</c:v>
                </c:pt>
              </c:numCache>
            </c:numRef>
          </c:xVal>
          <c:yVal>
            <c:numRef>
              <c:f>'Reference Standards'!$AB$158:$AF$158</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3-1B5D-48A8-A044-041DDFA9A677}"/>
            </c:ext>
          </c:extLst>
        </c:ser>
        <c:ser>
          <c:idx val="7"/>
          <c:order val="3"/>
          <c:tx>
            <c:strRef>
              <c:f>'Reference Standards'!$AA$155</c:f>
              <c:strCache>
                <c:ptCount val="1"/>
                <c:pt idx="0">
                  <c:v>71ghi / DA &lt;=2.5 </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2">
                    <a:lumMod val="60000"/>
                  </a:schemeClr>
                </a:solidFill>
                <a:prstDash val="sysDot"/>
              </a:ln>
              <a:effectLst/>
            </c:spPr>
            <c:trendlineType val="linear"/>
            <c:dispRSqr val="0"/>
            <c:dispEq val="1"/>
            <c:trendlineLbl>
              <c:layout>
                <c:manualLayout>
                  <c:x val="0.20922505387648102"/>
                  <c:y val="-9.7368235618808641E-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Standards'!$AF$155:$AG$155</c:f>
              <c:numCache>
                <c:formatCode>General</c:formatCode>
                <c:ptCount val="2"/>
                <c:pt idx="0">
                  <c:v>0.24</c:v>
                </c:pt>
                <c:pt idx="1">
                  <c:v>0.06</c:v>
                </c:pt>
              </c:numCache>
            </c:numRef>
          </c:xVal>
          <c:yVal>
            <c:numRef>
              <c:f>'Reference Standards'!$AF$158:$AG$158</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D-1B5D-48A8-A044-041DDFA9A677}"/>
            </c:ext>
          </c:extLst>
        </c:ser>
        <c:ser>
          <c:idx val="6"/>
          <c:order val="4"/>
          <c:tx>
            <c:strRef>
              <c:f>'Reference Standards'!$AA$156</c:f>
              <c:strCache>
                <c:ptCount val="1"/>
                <c:pt idx="0">
                  <c:v>74b / DA &lt;=2.5 </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ly"/>
            <c:order val="2"/>
            <c:dispRSqr val="0"/>
            <c:dispEq val="1"/>
            <c:trendlineLbl>
              <c:layout>
                <c:manualLayout>
                  <c:x val="0.47293579886662901"/>
                  <c:y val="-0.4915571851640167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Standards'!$AB$156:$AD$156</c:f>
              <c:numCache>
                <c:formatCode>General</c:formatCode>
                <c:ptCount val="3"/>
                <c:pt idx="0">
                  <c:v>1.3</c:v>
                </c:pt>
                <c:pt idx="2">
                  <c:v>0.48</c:v>
                </c:pt>
              </c:numCache>
            </c:numRef>
          </c:xVal>
          <c:yVal>
            <c:numRef>
              <c:f>'Reference Standards'!$AB$158:$AD$158</c:f>
              <c:numCache>
                <c:formatCode>General</c:formatCode>
                <c:ptCount val="3"/>
                <c:pt idx="0">
                  <c:v>0</c:v>
                </c:pt>
                <c:pt idx="1">
                  <c:v>0.28999999999999998</c:v>
                </c:pt>
                <c:pt idx="2">
                  <c:v>0.3</c:v>
                </c:pt>
              </c:numCache>
            </c:numRef>
          </c:yVal>
          <c:smooth val="0"/>
          <c:extLst xmlns:c16r2="http://schemas.microsoft.com/office/drawing/2015/06/chart">
            <c:ext xmlns:c16="http://schemas.microsoft.com/office/drawing/2014/chart" uri="{C3380CC4-5D6E-409C-BE32-E72D297353CC}">
              <c16:uniqueId val="{00000005-1B5D-48A8-A044-041DDFA9A677}"/>
            </c:ext>
          </c:extLst>
        </c:ser>
        <c:ser>
          <c:idx val="1"/>
          <c:order val="5"/>
          <c:tx>
            <c:strRef>
              <c:f>'Reference Standards'!$AA$156</c:f>
              <c:strCache>
                <c:ptCount val="1"/>
                <c:pt idx="0">
                  <c:v>74b / DA &lt;=2.5 </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21576333681012105"/>
                  <c:y val="-0.313678940600086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Standards'!$AD$156:$AG$156</c:f>
              <c:numCache>
                <c:formatCode>General</c:formatCode>
                <c:ptCount val="4"/>
                <c:pt idx="0">
                  <c:v>0.48</c:v>
                </c:pt>
                <c:pt idx="3">
                  <c:v>0.28999999999999998</c:v>
                </c:pt>
              </c:numCache>
            </c:numRef>
          </c:xVal>
          <c:yVal>
            <c:numRef>
              <c:f>'Reference Standards'!$AD$158:$AG$158</c:f>
              <c:numCache>
                <c:formatCode>General</c:formatCode>
                <c:ptCount val="4"/>
                <c:pt idx="0">
                  <c:v>0.3</c:v>
                </c:pt>
                <c:pt idx="1">
                  <c:v>0.69</c:v>
                </c:pt>
                <c:pt idx="2">
                  <c:v>0.7</c:v>
                </c:pt>
                <c:pt idx="3">
                  <c:v>1</c:v>
                </c:pt>
              </c:numCache>
            </c:numRef>
          </c:yVal>
          <c:smooth val="0"/>
          <c:extLst xmlns:c16r2="http://schemas.microsoft.com/office/drawing/2015/06/chart">
            <c:ext xmlns:c16="http://schemas.microsoft.com/office/drawing/2014/chart" uri="{C3380CC4-5D6E-409C-BE32-E72D297353CC}">
              <c16:uniqueId val="{00000007-1B5D-48A8-A044-041DDFA9A677}"/>
            </c:ext>
          </c:extLst>
        </c:ser>
        <c:ser>
          <c:idx val="3"/>
          <c:order val="6"/>
          <c:tx>
            <c:strRef>
              <c:f>'Reference Standards'!$AA$157</c:f>
              <c:strCache>
                <c:ptCount val="1"/>
                <c:pt idx="0">
                  <c:v>71e / DA &lt;=2.5 </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13994671213604845"/>
                  <c:y val="-0.3579431015887866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Standards'!$AB$157:$AF$157</c:f>
              <c:numCache>
                <c:formatCode>General</c:formatCode>
                <c:ptCount val="5"/>
                <c:pt idx="0">
                  <c:v>4.3</c:v>
                </c:pt>
                <c:pt idx="2">
                  <c:v>3.0750000000000002</c:v>
                </c:pt>
                <c:pt idx="4">
                  <c:v>0.67</c:v>
                </c:pt>
              </c:numCache>
            </c:numRef>
          </c:xVal>
          <c:yVal>
            <c:numRef>
              <c:f>'Reference Standards'!$AB$158:$AF$158</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9-1B5D-48A8-A044-041DDFA9A677}"/>
            </c:ext>
          </c:extLst>
        </c:ser>
        <c:ser>
          <c:idx val="2"/>
          <c:order val="7"/>
          <c:tx>
            <c:strRef>
              <c:f>'Reference Standards'!$AA$157</c:f>
              <c:strCache>
                <c:ptCount val="1"/>
                <c:pt idx="0">
                  <c:v>71e / DA &lt;=2.5 </c:v>
                </c:pt>
              </c:strCache>
            </c:strRef>
          </c:tx>
          <c:spPr>
            <a:ln w="25400" cap="rnd">
              <a:noFill/>
              <a:round/>
            </a:ln>
            <a:effectLst/>
          </c:spPr>
          <c:marker>
            <c:symbol val="circle"/>
            <c:size val="5"/>
            <c:spPr>
              <a:solidFill>
                <a:schemeClr val="accent4"/>
              </a:solidFill>
              <a:ln w="9525">
                <a:solidFill>
                  <a:schemeClr val="accent3"/>
                </a:solidFill>
              </a:ln>
              <a:effectLst/>
            </c:spPr>
          </c:marker>
          <c:trendline>
            <c:spPr>
              <a:ln w="19050" cap="rnd">
                <a:solidFill>
                  <a:schemeClr val="accent4"/>
                </a:solidFill>
                <a:prstDash val="sysDot"/>
              </a:ln>
              <a:effectLst/>
            </c:spPr>
            <c:trendlineType val="linear"/>
            <c:dispRSqr val="0"/>
            <c:dispEq val="1"/>
            <c:trendlineLbl>
              <c:layout>
                <c:manualLayout>
                  <c:x val="0.30294044259198816"/>
                  <c:y val="0.1139284546862063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Standards'!$AF$157:$AG$157</c:f>
              <c:numCache>
                <c:formatCode>General</c:formatCode>
                <c:ptCount val="2"/>
                <c:pt idx="0">
                  <c:v>0.67</c:v>
                </c:pt>
                <c:pt idx="1">
                  <c:v>0.53</c:v>
                </c:pt>
              </c:numCache>
            </c:numRef>
          </c:xVal>
          <c:yVal>
            <c:numRef>
              <c:f>'Reference Standards'!$AF$158:$AG$158</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B-1B5D-48A8-A044-041DDFA9A677}"/>
            </c:ext>
          </c:extLst>
        </c:ser>
        <c:dLbls>
          <c:showLegendKey val="0"/>
          <c:showVal val="0"/>
          <c:showCatName val="0"/>
          <c:showSerName val="0"/>
          <c:showPercent val="0"/>
          <c:showBubbleSize val="0"/>
        </c:dLbls>
        <c:axId val="377464872"/>
        <c:axId val="377370816"/>
      </c:scatterChart>
      <c:valAx>
        <c:axId val="377464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0816"/>
        <c:crosses val="autoZero"/>
        <c:crossBetween val="midCat"/>
      </c:valAx>
      <c:valAx>
        <c:axId val="377370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46487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Nitrate-Nitrite</a:t>
            </a:r>
            <a:r>
              <a:rPr lang="en-US" baseline="0"/>
              <a:t> </a:t>
            </a:r>
            <a:r>
              <a:rPr lang="en-US"/>
              <a:t>- 66efg &amp; 68b</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Standards'!$AA$190</c:f>
              <c:strCache>
                <c:ptCount val="1"/>
                <c:pt idx="0">
                  <c:v>66efg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39229697601840191"/>
                  <c:y val="-0.6873173541230747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trendlineLbl>
          </c:trendline>
          <c:xVal>
            <c:numRef>
              <c:f>'Reference Standards'!$AB$190:$AF$190</c:f>
              <c:numCache>
                <c:formatCode>General</c:formatCode>
                <c:ptCount val="5"/>
                <c:pt idx="0">
                  <c:v>0.61</c:v>
                </c:pt>
                <c:pt idx="2">
                  <c:v>0.34</c:v>
                </c:pt>
                <c:pt idx="4">
                  <c:v>0.06</c:v>
                </c:pt>
              </c:numCache>
            </c:numRef>
          </c:xVal>
          <c:yVal>
            <c:numRef>
              <c:f>'Reference Standards'!$AB$192:$AF$192</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3E7E-4414-BB19-1888C50C05E3}"/>
            </c:ext>
          </c:extLst>
        </c:ser>
        <c:ser>
          <c:idx val="5"/>
          <c:order val="1"/>
          <c:tx>
            <c:strRef>
              <c:f>'Reference Standards'!$AA$190</c:f>
              <c:strCache>
                <c:ptCount val="1"/>
                <c:pt idx="0">
                  <c:v>66efg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32428573338136302"/>
                  <c:y val="-0.1987126102241945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Standards'!$AF$190:$AG$190</c:f>
              <c:numCache>
                <c:formatCode>General</c:formatCode>
                <c:ptCount val="2"/>
                <c:pt idx="0">
                  <c:v>0.06</c:v>
                </c:pt>
                <c:pt idx="1">
                  <c:v>0.01</c:v>
                </c:pt>
              </c:numCache>
            </c:numRef>
          </c:xVal>
          <c:yVal>
            <c:numRef>
              <c:f>'Reference Standards'!$AF$192:$AG$192</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3-3E7E-4414-BB19-1888C50C05E3}"/>
            </c:ext>
          </c:extLst>
        </c:ser>
        <c:ser>
          <c:idx val="6"/>
          <c:order val="2"/>
          <c:tx>
            <c:strRef>
              <c:f>'Reference Standards'!$AA$191</c:f>
              <c:strCache>
                <c:ptCount val="1"/>
                <c:pt idx="0">
                  <c:v>68b </c:v>
                </c:pt>
              </c:strCache>
            </c:strRef>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trendline>
            <c:spPr>
              <a:ln w="19050" cap="rnd">
                <a:solidFill>
                  <a:schemeClr val="accent6"/>
                </a:solidFill>
                <a:prstDash val="sysDot"/>
              </a:ln>
              <a:effectLst/>
            </c:spPr>
            <c:trendlineType val="poly"/>
            <c:order val="2"/>
            <c:dispRSqr val="0"/>
            <c:dispEq val="1"/>
            <c:trendlineLbl>
              <c:layout>
                <c:manualLayout>
                  <c:x val="6.1952233360969798E-2"/>
                  <c:y val="-0.4186264480433404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Standards'!$AB$191:$AF$191</c:f>
              <c:numCache>
                <c:formatCode>General</c:formatCode>
                <c:ptCount val="5"/>
                <c:pt idx="0">
                  <c:v>1.1000000000000001</c:v>
                </c:pt>
                <c:pt idx="2">
                  <c:v>0.69</c:v>
                </c:pt>
                <c:pt idx="4">
                  <c:v>0.22</c:v>
                </c:pt>
              </c:numCache>
            </c:numRef>
          </c:xVal>
          <c:yVal>
            <c:numRef>
              <c:f>'Reference Standards'!$AB$192:$AF$192</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9-3E7E-4414-BB19-1888C50C05E3}"/>
            </c:ext>
          </c:extLst>
        </c:ser>
        <c:ser>
          <c:idx val="1"/>
          <c:order val="3"/>
          <c:tx>
            <c:strRef>
              <c:f>'Reference Standards'!$AA$191</c:f>
              <c:strCache>
                <c:ptCount val="1"/>
                <c:pt idx="0">
                  <c:v>68b </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20922505387648102"/>
                  <c:y val="2.0655015006815275E-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Standards'!$AF$191:$AG$191</c:f>
              <c:numCache>
                <c:formatCode>General</c:formatCode>
                <c:ptCount val="2"/>
                <c:pt idx="0">
                  <c:v>0.22</c:v>
                </c:pt>
                <c:pt idx="1">
                  <c:v>0.17</c:v>
                </c:pt>
              </c:numCache>
            </c:numRef>
          </c:xVal>
          <c:yVal>
            <c:numRef>
              <c:f>'Reference Standards'!$AF$192:$AG$192</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B-3E7E-4414-BB19-1888C50C05E3}"/>
            </c:ext>
          </c:extLst>
        </c:ser>
        <c:dLbls>
          <c:showLegendKey val="0"/>
          <c:showVal val="0"/>
          <c:showCatName val="0"/>
          <c:showSerName val="0"/>
          <c:showPercent val="0"/>
          <c:showBubbleSize val="0"/>
        </c:dLbls>
        <c:axId val="377375128"/>
        <c:axId val="377371208"/>
      </c:scatterChart>
      <c:valAx>
        <c:axId val="3773751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1208"/>
        <c:crosses val="autoZero"/>
        <c:crossBetween val="midCat"/>
      </c:valAx>
      <c:valAx>
        <c:axId val="377371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512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Nitrate-Nitrite</a:t>
            </a:r>
            <a:r>
              <a:rPr lang="en-US" baseline="0"/>
              <a:t>, DA&gt;2.5 - Plot 2</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Standards'!$AA$260</c:f>
              <c:strCache>
                <c:ptCount val="1"/>
                <c:pt idx="0">
                  <c:v>71f / DA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11598639350715899"/>
                  <c:y val="-0.6796976025345434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trendlineLbl>
          </c:trendline>
          <c:xVal>
            <c:numRef>
              <c:f>'Reference Standards'!$AB$260:$AF$260</c:f>
              <c:numCache>
                <c:formatCode>General</c:formatCode>
                <c:ptCount val="5"/>
                <c:pt idx="0">
                  <c:v>0.87</c:v>
                </c:pt>
                <c:pt idx="2">
                  <c:v>0.52</c:v>
                </c:pt>
                <c:pt idx="4">
                  <c:v>0.04</c:v>
                </c:pt>
              </c:numCache>
            </c:numRef>
          </c:xVal>
          <c:yVal>
            <c:numRef>
              <c:f>'Reference Standards'!$AB$264:$AF$264</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56FC-4F04-9D4E-F9B0CBB2C12D}"/>
            </c:ext>
          </c:extLst>
        </c:ser>
        <c:ser>
          <c:idx val="5"/>
          <c:order val="1"/>
          <c:tx>
            <c:strRef>
              <c:f>'Reference Standards'!$AA$260</c:f>
              <c:strCache>
                <c:ptCount val="1"/>
                <c:pt idx="0">
                  <c:v>71f / DA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2571724620565079"/>
                  <c:y val="-0.203016580771316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Standards'!$AF$260:$AG$260</c:f>
              <c:numCache>
                <c:formatCode>General</c:formatCode>
                <c:ptCount val="2"/>
                <c:pt idx="0">
                  <c:v>0.04</c:v>
                </c:pt>
                <c:pt idx="1">
                  <c:v>0.01</c:v>
                </c:pt>
              </c:numCache>
            </c:numRef>
          </c:xVal>
          <c:yVal>
            <c:numRef>
              <c:f>'Reference Standards'!$AF$264:$AG$264</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3-56FC-4F04-9D4E-F9B0CBB2C12D}"/>
            </c:ext>
          </c:extLst>
        </c:ser>
        <c:ser>
          <c:idx val="4"/>
          <c:order val="2"/>
          <c:tx>
            <c:strRef>
              <c:f>'Reference Standards'!$AA$261</c:f>
              <c:strCache>
                <c:ptCount val="1"/>
                <c:pt idx="0">
                  <c:v>65abei / DA &gt; 2.5 </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14360437519241601"/>
                  <c:y val="-0.5891887229327335"/>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Standards'!$AB$261:$AF$261</c:f>
              <c:numCache>
                <c:formatCode>General</c:formatCode>
                <c:ptCount val="5"/>
                <c:pt idx="0">
                  <c:v>0.82</c:v>
                </c:pt>
                <c:pt idx="2">
                  <c:v>0.4</c:v>
                </c:pt>
                <c:pt idx="4">
                  <c:v>0.06</c:v>
                </c:pt>
              </c:numCache>
            </c:numRef>
          </c:xVal>
          <c:yVal>
            <c:numRef>
              <c:f>'Reference Standards'!$AB$264:$AF$264</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5-56FC-4F04-9D4E-F9B0CBB2C12D}"/>
            </c:ext>
          </c:extLst>
        </c:ser>
        <c:ser>
          <c:idx val="7"/>
          <c:order val="3"/>
          <c:tx>
            <c:strRef>
              <c:f>'Reference Standards'!$AA$261</c:f>
              <c:strCache>
                <c:ptCount val="1"/>
                <c:pt idx="0">
                  <c:v>65abei / DA &gt; 2.5 </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5"/>
                </a:solidFill>
                <a:prstDash val="sysDot"/>
              </a:ln>
              <a:effectLst/>
            </c:spPr>
            <c:trendlineType val="linear"/>
            <c:dispRSqr val="0"/>
            <c:dispEq val="1"/>
            <c:trendlineLbl>
              <c:layout>
                <c:manualLayout>
                  <c:x val="0.21358390916557438"/>
                  <c:y val="-0.1004755644713189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Standards'!$AF$261:$AG$261</c:f>
              <c:numCache>
                <c:formatCode>General</c:formatCode>
                <c:ptCount val="2"/>
                <c:pt idx="0">
                  <c:v>0.06</c:v>
                </c:pt>
                <c:pt idx="1">
                  <c:v>0.01</c:v>
                </c:pt>
              </c:numCache>
            </c:numRef>
          </c:xVal>
          <c:yVal>
            <c:numRef>
              <c:f>'Reference Standards'!$AF$264:$AG$264</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7-56FC-4F04-9D4E-F9B0CBB2C12D}"/>
            </c:ext>
          </c:extLst>
        </c:ser>
        <c:ser>
          <c:idx val="6"/>
          <c:order val="4"/>
          <c:tx>
            <c:strRef>
              <c:f>'Reference Standards'!$AA$262</c:f>
              <c:strCache>
                <c:ptCount val="1"/>
                <c:pt idx="0">
                  <c:v>65j / DA &gt; 2.5 </c:v>
                </c:pt>
              </c:strCache>
            </c:strRef>
          </c:tx>
          <c:spPr>
            <a:ln w="25400" cap="rnd">
              <a:noFill/>
              <a:round/>
            </a:ln>
            <a:effectLst/>
          </c:spPr>
          <c:marker>
            <c:symbol val="circle"/>
            <c:size val="5"/>
            <c:spPr>
              <a:solidFill>
                <a:schemeClr val="accent4"/>
              </a:solidFill>
              <a:ln w="9525">
                <a:solidFill>
                  <a:schemeClr val="accent6"/>
                </a:solidFill>
              </a:ln>
              <a:effectLst/>
            </c:spPr>
          </c:marker>
          <c:trendline>
            <c:spPr>
              <a:ln w="19050" cap="rnd">
                <a:solidFill>
                  <a:schemeClr val="accent6"/>
                </a:solidFill>
                <a:prstDash val="sysDot"/>
              </a:ln>
              <a:effectLst/>
            </c:spPr>
            <c:trendlineType val="poly"/>
            <c:order val="2"/>
            <c:dispRSqr val="0"/>
            <c:dispEq val="1"/>
            <c:trendlineLbl>
              <c:layout>
                <c:manualLayout>
                  <c:x val="0.37268212721748184"/>
                  <c:y val="-0.4986798433309233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Standards'!$AB$262:$AF$262</c:f>
              <c:numCache>
                <c:formatCode>General</c:formatCode>
                <c:ptCount val="5"/>
                <c:pt idx="0">
                  <c:v>0.33</c:v>
                </c:pt>
                <c:pt idx="2">
                  <c:v>0.23</c:v>
                </c:pt>
                <c:pt idx="4">
                  <c:v>0.09</c:v>
                </c:pt>
              </c:numCache>
            </c:numRef>
          </c:xVal>
          <c:yVal>
            <c:numRef>
              <c:f>'Reference Standards'!$AB$264:$AF$264</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9-56FC-4F04-9D4E-F9B0CBB2C12D}"/>
            </c:ext>
          </c:extLst>
        </c:ser>
        <c:ser>
          <c:idx val="1"/>
          <c:order val="5"/>
          <c:tx>
            <c:strRef>
              <c:f>'Reference Standards'!$AA$262</c:f>
              <c:strCache>
                <c:ptCount val="1"/>
                <c:pt idx="0">
                  <c:v>65j / DA &gt; 2.5 </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20922505387648102"/>
                  <c:y val="2.0655015006815275E-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Standards'!$AF$262:$AG$262</c:f>
              <c:numCache>
                <c:formatCode>General</c:formatCode>
                <c:ptCount val="2"/>
                <c:pt idx="0">
                  <c:v>0.09</c:v>
                </c:pt>
                <c:pt idx="1">
                  <c:v>0.03</c:v>
                </c:pt>
              </c:numCache>
            </c:numRef>
          </c:xVal>
          <c:yVal>
            <c:numRef>
              <c:f>'Reference Standards'!$AF$264:$AG$264</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B-56FC-4F04-9D4E-F9B0CBB2C12D}"/>
            </c:ext>
          </c:extLst>
        </c:ser>
        <c:ser>
          <c:idx val="3"/>
          <c:order val="6"/>
          <c:tx>
            <c:strRef>
              <c:f>'Reference Standards'!$AA$263</c:f>
              <c:strCache>
                <c:ptCount val="1"/>
                <c:pt idx="0">
                  <c:v>68c / DA &gt; 2.5 </c:v>
                </c:pt>
              </c:strCache>
            </c:strRef>
          </c:tx>
          <c:spPr>
            <a:ln w="25400" cap="rnd">
              <a:noFill/>
              <a:round/>
            </a:ln>
            <a:effectLst/>
          </c:spPr>
          <c:marker>
            <c:symbol val="circle"/>
            <c:size val="5"/>
            <c:spPr>
              <a:solidFill>
                <a:schemeClr val="accent4"/>
              </a:solidFill>
              <a:ln w="9525">
                <a:solidFill>
                  <a:schemeClr val="accent6"/>
                </a:solidFill>
              </a:ln>
              <a:effectLst/>
            </c:spPr>
          </c:marker>
          <c:trendline>
            <c:spPr>
              <a:ln w="19050" cap="rnd">
                <a:solidFill>
                  <a:schemeClr val="accent4"/>
                </a:solidFill>
                <a:prstDash val="sysDot"/>
              </a:ln>
              <a:effectLst/>
            </c:spPr>
            <c:trendlineType val="poly"/>
            <c:order val="2"/>
            <c:dispRSqr val="0"/>
            <c:dispEq val="1"/>
            <c:trendlineLbl>
              <c:layout>
                <c:manualLayout>
                  <c:x val="0.23448856727172382"/>
                  <c:y val="-0.364477021852377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Standards'!$AB$263:$AF$263</c:f>
              <c:numCache>
                <c:formatCode>General</c:formatCode>
                <c:ptCount val="5"/>
                <c:pt idx="0">
                  <c:v>0.7</c:v>
                </c:pt>
                <c:pt idx="2">
                  <c:v>0.37</c:v>
                </c:pt>
                <c:pt idx="4">
                  <c:v>0.12</c:v>
                </c:pt>
              </c:numCache>
            </c:numRef>
          </c:xVal>
          <c:yVal>
            <c:numRef>
              <c:f>'Reference Standards'!$AB$264:$AF$264</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D-56FC-4F04-9D4E-F9B0CBB2C12D}"/>
            </c:ext>
          </c:extLst>
        </c:ser>
        <c:ser>
          <c:idx val="2"/>
          <c:order val="7"/>
          <c:tx>
            <c:strRef>
              <c:f>'Reference Standards'!$AA$263</c:f>
              <c:strCache>
                <c:ptCount val="1"/>
                <c:pt idx="0">
                  <c:v>68c / DA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4"/>
                </a:solidFill>
                <a:prstDash val="sysDot"/>
              </a:ln>
              <a:effectLst/>
            </c:spPr>
            <c:trendlineType val="linear"/>
            <c:dispRSqr val="0"/>
            <c:dispEq val="1"/>
            <c:trendlineLbl>
              <c:layout>
                <c:manualLayout>
                  <c:x val="0.30294044259198816"/>
                  <c:y val="0.1139284546862063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Standards'!$AF$263:$AG$263</c:f>
              <c:numCache>
                <c:formatCode>General</c:formatCode>
                <c:ptCount val="2"/>
                <c:pt idx="0">
                  <c:v>0.12</c:v>
                </c:pt>
                <c:pt idx="1">
                  <c:v>7.0000000000000007E-2</c:v>
                </c:pt>
              </c:numCache>
            </c:numRef>
          </c:xVal>
          <c:yVal>
            <c:numRef>
              <c:f>'Reference Standards'!$AF$264:$AG$264</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F-56FC-4F04-9D4E-F9B0CBB2C12D}"/>
            </c:ext>
          </c:extLst>
        </c:ser>
        <c:dLbls>
          <c:showLegendKey val="0"/>
          <c:showVal val="0"/>
          <c:showCatName val="0"/>
          <c:showSerName val="0"/>
          <c:showPercent val="0"/>
          <c:showBubbleSize val="0"/>
        </c:dLbls>
        <c:axId val="377368856"/>
        <c:axId val="377371600"/>
      </c:scatterChart>
      <c:valAx>
        <c:axId val="377368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1600"/>
        <c:crosses val="autoZero"/>
        <c:crossBetween val="midCat"/>
      </c:valAx>
      <c:valAx>
        <c:axId val="377371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6885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Nitrate-Nitrite</a:t>
            </a:r>
            <a:r>
              <a:rPr lang="en-US" baseline="0"/>
              <a:t>, </a:t>
            </a:r>
            <a:r>
              <a:rPr lang="en-US"/>
              <a:t>DA&gt;2.5</a:t>
            </a:r>
            <a:r>
              <a:rPr lang="en-US" baseline="0"/>
              <a:t> -</a:t>
            </a:r>
            <a:r>
              <a:rPr lang="en-US"/>
              <a:t> Plot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Standards'!$AA$224</c:f>
              <c:strCache>
                <c:ptCount val="1"/>
                <c:pt idx="0">
                  <c:v>73a / DA &gt; 2.5 </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5.8226755889345484E-2"/>
                  <c:y val="-0.6438498425410226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Standards'!$AB$224:$AF$224</c:f>
              <c:numCache>
                <c:formatCode>General</c:formatCode>
                <c:ptCount val="5"/>
                <c:pt idx="0">
                  <c:v>0.55000000000000004</c:v>
                </c:pt>
                <c:pt idx="2">
                  <c:v>0.31</c:v>
                </c:pt>
                <c:pt idx="4">
                  <c:v>0.01</c:v>
                </c:pt>
              </c:numCache>
            </c:numRef>
          </c:xVal>
          <c:yVal>
            <c:numRef>
              <c:f>'Reference Standards'!$AB$228:$AF$228</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10-6840-499C-B33E-1B162FEA2E04}"/>
            </c:ext>
          </c:extLst>
        </c:ser>
        <c:ser>
          <c:idx val="1"/>
          <c:order val="1"/>
          <c:tx>
            <c:strRef>
              <c:f>'Reference Standards'!$AA$225</c:f>
              <c:strCache>
                <c:ptCount val="1"/>
                <c:pt idx="0">
                  <c:v>68a / DA &gt; 2.5 </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0"/>
            <c:dispEq val="1"/>
            <c:trendlineLbl>
              <c:layout>
                <c:manualLayout>
                  <c:x val="7.0885798334642702E-2"/>
                  <c:y val="-0.5613993831484148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Standards'!$AB$225:$AF$225</c:f>
              <c:numCache>
                <c:formatCode>General</c:formatCode>
                <c:ptCount val="5"/>
                <c:pt idx="0">
                  <c:v>0.54</c:v>
                </c:pt>
                <c:pt idx="2">
                  <c:v>0.27</c:v>
                </c:pt>
                <c:pt idx="4">
                  <c:v>0.02</c:v>
                </c:pt>
              </c:numCache>
            </c:numRef>
          </c:xVal>
          <c:yVal>
            <c:numRef>
              <c:f>'Reference Standards'!$AB$228:$AF$228</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11-6840-499C-B33E-1B162FEA2E04}"/>
            </c:ext>
          </c:extLst>
        </c:ser>
        <c:ser>
          <c:idx val="2"/>
          <c:order val="2"/>
          <c:tx>
            <c:strRef>
              <c:f>'Reference Standards'!$AA$226</c:f>
              <c:strCache>
                <c:ptCount val="1"/>
                <c:pt idx="0">
                  <c:v>74a / DA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14206401751230174"/>
                  <c:y val="-0.4850563651922966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Standards'!$AB$226:$AF$226</c:f>
              <c:numCache>
                <c:formatCode>General</c:formatCode>
                <c:ptCount val="5"/>
                <c:pt idx="0">
                  <c:v>0.47</c:v>
                </c:pt>
                <c:pt idx="2">
                  <c:v>0.27</c:v>
                </c:pt>
                <c:pt idx="4">
                  <c:v>0.02</c:v>
                </c:pt>
              </c:numCache>
            </c:numRef>
          </c:xVal>
          <c:yVal>
            <c:numRef>
              <c:f>'Reference Standards'!$AB$228:$AF$228</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12-6840-499C-B33E-1B162FEA2E04}"/>
            </c:ext>
          </c:extLst>
        </c:ser>
        <c:ser>
          <c:idx val="3"/>
          <c:order val="3"/>
          <c:tx>
            <c:strRef>
              <c:f>'Reference Standards'!$AA$227</c:f>
              <c:strCache>
                <c:ptCount val="1"/>
                <c:pt idx="0">
                  <c:v>69de / DA &gt; 2.5 </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ly"/>
            <c:order val="2"/>
            <c:dispRSqr val="0"/>
            <c:dispEq val="1"/>
            <c:trendlineLbl>
              <c:layout>
                <c:manualLayout>
                  <c:x val="0.34870842312746836"/>
                  <c:y val="-0.4026059057996889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Standards'!$AB$227:$AF$227</c:f>
              <c:numCache>
                <c:formatCode>General</c:formatCode>
                <c:ptCount val="5"/>
                <c:pt idx="0">
                  <c:v>0.26</c:v>
                </c:pt>
                <c:pt idx="2">
                  <c:v>0.2</c:v>
                </c:pt>
                <c:pt idx="4">
                  <c:v>0.03</c:v>
                </c:pt>
              </c:numCache>
            </c:numRef>
          </c:xVal>
          <c:yVal>
            <c:numRef>
              <c:f>'Reference Standards'!$AB$228:$AF$228</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16-6840-499C-B33E-1B162FEA2E04}"/>
            </c:ext>
          </c:extLst>
        </c:ser>
        <c:dLbls>
          <c:showLegendKey val="0"/>
          <c:showVal val="0"/>
          <c:showCatName val="0"/>
          <c:showSerName val="0"/>
          <c:showPercent val="0"/>
          <c:showBubbleSize val="0"/>
        </c:dLbls>
        <c:axId val="377373952"/>
        <c:axId val="377375912"/>
      </c:scatterChart>
      <c:valAx>
        <c:axId val="377373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5912"/>
        <c:crosses val="autoZero"/>
        <c:crossBetween val="midCat"/>
      </c:valAx>
      <c:valAx>
        <c:axId val="377375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395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Nitrate-Nitrite</a:t>
            </a:r>
            <a:r>
              <a:rPr lang="en-US" baseline="0"/>
              <a:t>, DA&gt;2.5 - Plot 3</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Standards'!$AA$296</c:f>
              <c:strCache>
                <c:ptCount val="1"/>
                <c:pt idx="0">
                  <c:v>67fghi / DA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0"/>
            <c:dispEq val="1"/>
            <c:trendlineLbl>
              <c:layout>
                <c:manualLayout>
                  <c:x val="0.40319411424113533"/>
                  <c:y val="-0.6953025817762349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trendlineLbl>
          </c:trendline>
          <c:xVal>
            <c:numRef>
              <c:f>'Reference Standards'!$AB$296:$AF$296</c:f>
              <c:numCache>
                <c:formatCode>General</c:formatCode>
                <c:ptCount val="5"/>
                <c:pt idx="0">
                  <c:v>1.8</c:v>
                </c:pt>
                <c:pt idx="2">
                  <c:v>1.3</c:v>
                </c:pt>
                <c:pt idx="4">
                  <c:v>0.2</c:v>
                </c:pt>
              </c:numCache>
            </c:numRef>
          </c:xVal>
          <c:yVal>
            <c:numRef>
              <c:f>'Reference Standards'!$AB$301:$AF$301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6889-452C-9220-8968E331D6D2}"/>
            </c:ext>
          </c:extLst>
        </c:ser>
        <c:ser>
          <c:idx val="5"/>
          <c:order val="1"/>
          <c:tx>
            <c:strRef>
              <c:f>'Reference Standards'!$AA$296</c:f>
              <c:strCache>
                <c:ptCount val="1"/>
                <c:pt idx="0">
                  <c:v>67fghi / DA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1"/>
            <c:trendlineLbl>
              <c:layout>
                <c:manualLayout>
                  <c:x val="0.2571724620565079"/>
                  <c:y val="-0.203016580771316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Standards'!$AF$296:$AG$296</c:f>
              <c:numCache>
                <c:formatCode>General</c:formatCode>
                <c:ptCount val="2"/>
                <c:pt idx="0">
                  <c:v>0.2</c:v>
                </c:pt>
                <c:pt idx="1">
                  <c:v>0.08</c:v>
                </c:pt>
              </c:numCache>
            </c:numRef>
          </c:xVal>
          <c:yVal>
            <c:numRef>
              <c:f>'Reference Standards'!$AF$301:$AG$301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3-6889-452C-9220-8968E331D6D2}"/>
            </c:ext>
          </c:extLst>
        </c:ser>
        <c:ser>
          <c:idx val="4"/>
          <c:order val="2"/>
          <c:tx>
            <c:strRef>
              <c:f>'Reference Standards'!$AA$297</c:f>
              <c:strCache>
                <c:ptCount val="1"/>
                <c:pt idx="0">
                  <c:v>74b / DA &gt; 2.5 </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ly"/>
            <c:order val="2"/>
            <c:dispRSqr val="0"/>
            <c:dispEq val="1"/>
            <c:trendlineLbl>
              <c:layout>
                <c:manualLayout>
                  <c:x val="0.39883525895204197"/>
                  <c:y val="-0.59855171047774824"/>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Standards'!$AB$297:$AF$297</c:f>
              <c:numCache>
                <c:formatCode>General</c:formatCode>
                <c:ptCount val="5"/>
                <c:pt idx="0">
                  <c:v>0.96</c:v>
                </c:pt>
                <c:pt idx="2">
                  <c:v>0.52</c:v>
                </c:pt>
                <c:pt idx="4">
                  <c:v>0.16</c:v>
                </c:pt>
              </c:numCache>
            </c:numRef>
          </c:xVal>
          <c:yVal>
            <c:numRef>
              <c:f>'Reference Standards'!$AB$301:$AF$301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5-6889-452C-9220-8968E331D6D2}"/>
            </c:ext>
          </c:extLst>
        </c:ser>
        <c:ser>
          <c:idx val="7"/>
          <c:order val="3"/>
          <c:tx>
            <c:strRef>
              <c:f>'Reference Standards'!$AA$297</c:f>
              <c:strCache>
                <c:ptCount val="1"/>
                <c:pt idx="0">
                  <c:v>74b / DA &gt; 2.5 </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5"/>
                </a:solidFill>
                <a:prstDash val="sysDot"/>
              </a:ln>
              <a:effectLst/>
            </c:spPr>
            <c:trendlineType val="linear"/>
            <c:dispRSqr val="0"/>
            <c:dispEq val="1"/>
            <c:trendlineLbl>
              <c:layout>
                <c:manualLayout>
                  <c:x val="0.21358390916557438"/>
                  <c:y val="-0.1004755644713189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1"/>
                      </a:solidFill>
                      <a:latin typeface="+mn-lt"/>
                      <a:ea typeface="+mn-ea"/>
                      <a:cs typeface="+mn-cs"/>
                    </a:defRPr>
                  </a:pPr>
                  <a:endParaRPr lang="en-US"/>
                </a:p>
              </c:txPr>
            </c:trendlineLbl>
          </c:trendline>
          <c:xVal>
            <c:numRef>
              <c:f>'Reference Standards'!$AF$297:$AG$297</c:f>
              <c:numCache>
                <c:formatCode>General</c:formatCode>
                <c:ptCount val="2"/>
                <c:pt idx="0">
                  <c:v>0.16</c:v>
                </c:pt>
                <c:pt idx="1">
                  <c:v>0.12</c:v>
                </c:pt>
              </c:numCache>
            </c:numRef>
          </c:xVal>
          <c:yVal>
            <c:numRef>
              <c:f>'Reference Standards'!$AF$301:$AG$301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7-6889-452C-9220-8968E331D6D2}"/>
            </c:ext>
          </c:extLst>
        </c:ser>
        <c:ser>
          <c:idx val="6"/>
          <c:order val="4"/>
          <c:tx>
            <c:strRef>
              <c:f>'Reference Standards'!$AA$298</c:f>
              <c:strCache>
                <c:ptCount val="1"/>
                <c:pt idx="0">
                  <c:v>66d / DA &gt; 2.5 </c:v>
                </c:pt>
              </c:strCache>
            </c:strRef>
          </c:tx>
          <c:spPr>
            <a:ln w="25400" cap="rnd">
              <a:noFill/>
              <a:round/>
            </a:ln>
            <a:effectLst/>
          </c:spPr>
          <c:marker>
            <c:symbol val="circle"/>
            <c:size val="5"/>
            <c:spPr>
              <a:solidFill>
                <a:schemeClr val="accent4"/>
              </a:solidFill>
              <a:ln w="9525">
                <a:solidFill>
                  <a:schemeClr val="accent6"/>
                </a:solidFill>
              </a:ln>
              <a:effectLst/>
            </c:spPr>
          </c:marker>
          <c:trendline>
            <c:spPr>
              <a:ln w="19050" cap="rnd">
                <a:solidFill>
                  <a:schemeClr val="accent6"/>
                </a:solidFill>
                <a:prstDash val="sysDot"/>
              </a:ln>
              <a:effectLst/>
            </c:spPr>
            <c:trendlineType val="poly"/>
            <c:order val="2"/>
            <c:dispRSqr val="0"/>
            <c:dispEq val="1"/>
            <c:trendlineLbl>
              <c:layout>
                <c:manualLayout>
                  <c:x val="0.37268212721748184"/>
                  <c:y val="-0.4986798433309233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Standards'!$AB$298:$AF$298</c:f>
              <c:numCache>
                <c:formatCode>General</c:formatCode>
                <c:ptCount val="5"/>
                <c:pt idx="0">
                  <c:v>0.75</c:v>
                </c:pt>
                <c:pt idx="2">
                  <c:v>0.51</c:v>
                </c:pt>
                <c:pt idx="4">
                  <c:v>0.2</c:v>
                </c:pt>
              </c:numCache>
            </c:numRef>
          </c:xVal>
          <c:yVal>
            <c:numRef>
              <c:f>'Reference Standards'!$AB$301:$AF$301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9-6889-452C-9220-8968E331D6D2}"/>
            </c:ext>
          </c:extLst>
        </c:ser>
        <c:ser>
          <c:idx val="1"/>
          <c:order val="5"/>
          <c:tx>
            <c:strRef>
              <c:f>'Reference Standards'!$AA$298</c:f>
              <c:strCache>
                <c:ptCount val="1"/>
                <c:pt idx="0">
                  <c:v>66d / DA &gt; 2.5 </c:v>
                </c:pt>
              </c:strCache>
            </c:strRef>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dispRSqr val="0"/>
            <c:dispEq val="1"/>
            <c:trendlineLbl>
              <c:layout>
                <c:manualLayout>
                  <c:x val="0.22230161974376109"/>
                  <c:y val="3.3964790251876653E-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6"/>
                      </a:solidFill>
                      <a:latin typeface="+mn-lt"/>
                      <a:ea typeface="+mn-ea"/>
                      <a:cs typeface="+mn-cs"/>
                    </a:defRPr>
                  </a:pPr>
                  <a:endParaRPr lang="en-US"/>
                </a:p>
              </c:txPr>
            </c:trendlineLbl>
          </c:trendline>
          <c:xVal>
            <c:numRef>
              <c:f>'Reference Standards'!$AF$298:$AG$298</c:f>
              <c:numCache>
                <c:formatCode>General</c:formatCode>
                <c:ptCount val="2"/>
                <c:pt idx="0">
                  <c:v>0.2</c:v>
                </c:pt>
                <c:pt idx="1">
                  <c:v>0.13</c:v>
                </c:pt>
              </c:numCache>
            </c:numRef>
          </c:xVal>
          <c:yVal>
            <c:numRef>
              <c:f>'Reference Standards'!$AF$301:$AG$301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B-6889-452C-9220-8968E331D6D2}"/>
            </c:ext>
          </c:extLst>
        </c:ser>
        <c:ser>
          <c:idx val="3"/>
          <c:order val="6"/>
          <c:tx>
            <c:strRef>
              <c:f>'Reference Standards'!$AA$299</c:f>
              <c:strCache>
                <c:ptCount val="1"/>
                <c:pt idx="0">
                  <c:v>71ghi / DA &gt; 2.5 </c:v>
                </c:pt>
              </c:strCache>
            </c:strRef>
          </c:tx>
          <c:spPr>
            <a:ln w="25400" cap="rnd">
              <a:noFill/>
              <a:round/>
            </a:ln>
            <a:effectLst/>
          </c:spPr>
          <c:marker>
            <c:symbol val="circle"/>
            <c:size val="5"/>
            <c:spPr>
              <a:solidFill>
                <a:schemeClr val="accent4"/>
              </a:solidFill>
              <a:ln w="9525">
                <a:solidFill>
                  <a:schemeClr val="accent6"/>
                </a:solidFill>
              </a:ln>
              <a:effectLst/>
            </c:spPr>
          </c:marker>
          <c:trendline>
            <c:spPr>
              <a:ln w="19050" cap="rnd">
                <a:solidFill>
                  <a:schemeClr val="accent4"/>
                </a:solidFill>
                <a:prstDash val="sysDot"/>
              </a:ln>
              <a:effectLst/>
            </c:spPr>
            <c:trendlineType val="poly"/>
            <c:order val="2"/>
            <c:dispRSqr val="0"/>
            <c:dispEq val="1"/>
            <c:trendlineLbl>
              <c:layout>
                <c:manualLayout>
                  <c:x val="0.40755296953022868"/>
                  <c:y val="-0.38632399279074542"/>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Standards'!$AB$299:$AF$299</c:f>
              <c:numCache>
                <c:formatCode>General</c:formatCode>
                <c:ptCount val="5"/>
                <c:pt idx="0">
                  <c:v>1.68</c:v>
                </c:pt>
                <c:pt idx="2">
                  <c:v>1.1599999999999999</c:v>
                </c:pt>
                <c:pt idx="4">
                  <c:v>0.23</c:v>
                </c:pt>
              </c:numCache>
            </c:numRef>
          </c:xVal>
          <c:yVal>
            <c:numRef>
              <c:f>'Reference Standards'!$AB$301:$AF$301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D-6889-452C-9220-8968E331D6D2}"/>
            </c:ext>
          </c:extLst>
        </c:ser>
        <c:ser>
          <c:idx val="2"/>
          <c:order val="7"/>
          <c:tx>
            <c:strRef>
              <c:f>'Reference Standards'!$AA$299</c:f>
              <c:strCache>
                <c:ptCount val="1"/>
                <c:pt idx="0">
                  <c:v>71ghi / DA &gt; 2.5 </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4"/>
                </a:solidFill>
                <a:prstDash val="sysDot"/>
              </a:ln>
              <a:effectLst/>
            </c:spPr>
            <c:trendlineType val="linear"/>
            <c:dispRSqr val="0"/>
            <c:dispEq val="1"/>
            <c:trendlineLbl>
              <c:layout>
                <c:manualLayout>
                  <c:x val="0.1917896327201076"/>
                  <c:y val="0.12823631295871876"/>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4"/>
                      </a:solidFill>
                      <a:latin typeface="+mn-lt"/>
                      <a:ea typeface="+mn-ea"/>
                      <a:cs typeface="+mn-cs"/>
                    </a:defRPr>
                  </a:pPr>
                  <a:endParaRPr lang="en-US"/>
                </a:p>
              </c:txPr>
            </c:trendlineLbl>
          </c:trendline>
          <c:xVal>
            <c:numRef>
              <c:f>'Reference Standards'!$AF$299:$AG$299</c:f>
              <c:numCache>
                <c:formatCode>General</c:formatCode>
                <c:ptCount val="2"/>
                <c:pt idx="0">
                  <c:v>0.23</c:v>
                </c:pt>
                <c:pt idx="1">
                  <c:v>0.08</c:v>
                </c:pt>
              </c:numCache>
            </c:numRef>
          </c:xVal>
          <c:yVal>
            <c:numRef>
              <c:f>'Reference Standards'!$AF$301:$AG$301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F-6889-452C-9220-8968E331D6D2}"/>
            </c:ext>
          </c:extLst>
        </c:ser>
        <c:ser>
          <c:idx val="8"/>
          <c:order val="8"/>
          <c:tx>
            <c:strRef>
              <c:f>'Reference Standards'!$AA$300</c:f>
              <c:strCache>
                <c:ptCount val="1"/>
                <c:pt idx="0">
                  <c:v>71e / DA &gt; 2.5 </c:v>
                </c:pt>
              </c:strCache>
            </c:strRef>
          </c:tx>
          <c:spPr>
            <a:ln w="25400" cap="rnd">
              <a:noFill/>
              <a:round/>
            </a:ln>
            <a:effectLst/>
          </c:spPr>
          <c:marker>
            <c:symbol val="circle"/>
            <c:size val="5"/>
            <c:spPr>
              <a:solidFill>
                <a:schemeClr val="accent3">
                  <a:lumMod val="60000"/>
                </a:schemeClr>
              </a:solidFill>
              <a:ln w="9525">
                <a:solidFill>
                  <a:schemeClr val="accent3">
                    <a:lumMod val="60000"/>
                  </a:schemeClr>
                </a:solidFill>
              </a:ln>
              <a:effectLst/>
            </c:spPr>
          </c:marker>
          <c:trendline>
            <c:spPr>
              <a:ln w="19050" cap="rnd">
                <a:solidFill>
                  <a:schemeClr val="accent3">
                    <a:lumMod val="60000"/>
                  </a:schemeClr>
                </a:solidFill>
                <a:prstDash val="sysDot"/>
              </a:ln>
              <a:effectLst/>
            </c:spPr>
            <c:trendlineType val="poly"/>
            <c:order val="3"/>
            <c:dispRSqr val="0"/>
            <c:dispEq val="1"/>
            <c:trendlineLbl>
              <c:layout>
                <c:manualLayout>
                  <c:x val="7.1889364701989866E-2"/>
                  <c:y val="-0.1772172709520806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Standards'!$AB$300:$AF$300</c:f>
              <c:numCache>
                <c:formatCode>General</c:formatCode>
                <c:ptCount val="5"/>
                <c:pt idx="0">
                  <c:v>5.3</c:v>
                </c:pt>
                <c:pt idx="2">
                  <c:v>4.2</c:v>
                </c:pt>
                <c:pt idx="4">
                  <c:v>1.395</c:v>
                </c:pt>
              </c:numCache>
            </c:numRef>
          </c:xVal>
          <c:yVal>
            <c:numRef>
              <c:f>'Reference Standards'!$AB$301:$AF$301</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10-6889-452C-9220-8968E331D6D2}"/>
            </c:ext>
          </c:extLst>
        </c:ser>
        <c:ser>
          <c:idx val="9"/>
          <c:order val="9"/>
          <c:tx>
            <c:strRef>
              <c:f>'Reference Standards'!$AA$300</c:f>
              <c:strCache>
                <c:ptCount val="1"/>
                <c:pt idx="0">
                  <c:v>71e / DA &gt; 2.5 </c:v>
                </c:pt>
              </c:strCache>
            </c:strRef>
          </c:tx>
          <c:spPr>
            <a:ln w="25400" cap="rnd">
              <a:noFill/>
              <a:round/>
            </a:ln>
            <a:effectLst/>
          </c:spPr>
          <c:marker>
            <c:symbol val="circle"/>
            <c:size val="5"/>
            <c:spPr>
              <a:solidFill>
                <a:schemeClr val="accent4">
                  <a:lumMod val="60000"/>
                </a:schemeClr>
              </a:solidFill>
              <a:ln w="9525">
                <a:solidFill>
                  <a:schemeClr val="accent4">
                    <a:lumMod val="60000"/>
                  </a:schemeClr>
                </a:solidFill>
              </a:ln>
              <a:effectLst/>
            </c:spPr>
          </c:marker>
          <c:trendline>
            <c:spPr>
              <a:ln w="19050" cap="rnd">
                <a:solidFill>
                  <a:schemeClr val="accent4">
                    <a:lumMod val="60000"/>
                  </a:schemeClr>
                </a:solidFill>
                <a:prstDash val="sysDot"/>
              </a:ln>
              <a:effectLst/>
            </c:spPr>
            <c:trendlineType val="linear"/>
            <c:dispRSqr val="0"/>
            <c:dispEq val="1"/>
            <c:trendlineLbl>
              <c:layout>
                <c:manualLayout>
                  <c:x val="0.22230161974376109"/>
                  <c:y val="0.262439134437264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rendlineLbl>
          </c:trendline>
          <c:xVal>
            <c:numRef>
              <c:f>'Reference Standards'!$AF$300:$AG$300</c:f>
              <c:numCache>
                <c:formatCode>General</c:formatCode>
                <c:ptCount val="2"/>
                <c:pt idx="0">
                  <c:v>1.395</c:v>
                </c:pt>
                <c:pt idx="1">
                  <c:v>0.94</c:v>
                </c:pt>
              </c:numCache>
            </c:numRef>
          </c:xVal>
          <c:yVal>
            <c:numRef>
              <c:f>'Reference Standards'!$AF$301:$AG$301</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12-6889-452C-9220-8968E331D6D2}"/>
            </c:ext>
          </c:extLst>
        </c:ser>
        <c:dLbls>
          <c:showLegendKey val="0"/>
          <c:showVal val="0"/>
          <c:showCatName val="0"/>
          <c:showSerName val="0"/>
          <c:showPercent val="0"/>
          <c:showBubbleSize val="0"/>
        </c:dLbls>
        <c:axId val="377371992"/>
        <c:axId val="377369248"/>
      </c:scatterChart>
      <c:valAx>
        <c:axId val="377371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69248"/>
        <c:crosses val="autoZero"/>
        <c:crossBetween val="midCat"/>
      </c:valAx>
      <c:valAx>
        <c:axId val="377369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199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Sinuosity</a:t>
            </a:r>
            <a:r>
              <a:rPr lang="en-US" baseline="0"/>
              <a:t> for Colluvial Valleys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23972303804460601"/>
                  <c:y val="-0.2096330249815789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Standards'!$S$749:$X$749</c:f>
              <c:numCache>
                <c:formatCode>General</c:formatCode>
                <c:ptCount val="6"/>
                <c:pt idx="2">
                  <c:v>1.3</c:v>
                </c:pt>
                <c:pt idx="3">
                  <c:v>1.21</c:v>
                </c:pt>
              </c:numCache>
            </c:numRef>
          </c:xVal>
          <c:yVal>
            <c:numRef>
              <c:f>'Reference Standards'!$S$750:$X$750</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08D2-446D-B575-73007C2F2446}"/>
            </c:ext>
          </c:extLst>
        </c:ser>
        <c:ser>
          <c:idx val="1"/>
          <c:order val="1"/>
          <c:tx>
            <c:v>Floor</c:v>
          </c:tx>
          <c:spPr>
            <a:ln w="25400" cap="rnd">
              <a:solidFill>
                <a:srgbClr val="FF0000"/>
              </a:solidFill>
              <a:round/>
            </a:ln>
            <a:effectLst/>
          </c:spPr>
          <c:marker>
            <c:symbol val="none"/>
          </c:marker>
          <c:xVal>
            <c:numLit>
              <c:formatCode>General</c:formatCode>
              <c:ptCount val="2"/>
              <c:pt idx="0">
                <c:v>1.31</c:v>
              </c:pt>
              <c:pt idx="1">
                <c:v>2</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2-08D2-446D-B575-73007C2F2446}"/>
            </c:ext>
          </c:extLst>
        </c:ser>
        <c:ser>
          <c:idx val="2"/>
          <c:order val="2"/>
          <c:tx>
            <c:v>Crest</c:v>
          </c:tx>
          <c:spPr>
            <a:ln w="25400" cap="rnd">
              <a:solidFill>
                <a:srgbClr val="FF0000"/>
              </a:solidFill>
              <a:round/>
            </a:ln>
            <a:effectLst/>
          </c:spPr>
          <c:marker>
            <c:symbol val="none"/>
          </c:marker>
          <c:xVal>
            <c:numLit>
              <c:formatCode>General</c:formatCode>
              <c:ptCount val="2"/>
              <c:pt idx="0">
                <c:v>1</c:v>
              </c:pt>
              <c:pt idx="1">
                <c:v>1.2</c:v>
              </c:pt>
            </c:numLit>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3-08D2-446D-B575-73007C2F2446}"/>
            </c:ext>
          </c:extLst>
        </c:ser>
        <c:dLbls>
          <c:showLegendKey val="0"/>
          <c:showVal val="0"/>
          <c:showCatName val="0"/>
          <c:showSerName val="0"/>
          <c:showPercent val="0"/>
          <c:showBubbleSize val="0"/>
        </c:dLbls>
        <c:axId val="377372384"/>
        <c:axId val="377374344"/>
      </c:scatterChart>
      <c:valAx>
        <c:axId val="377372384"/>
        <c:scaling>
          <c:orientation val="minMax"/>
          <c:max val="1.8"/>
          <c:min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4344"/>
        <c:crosses val="autoZero"/>
        <c:crossBetween val="midCat"/>
      </c:valAx>
      <c:valAx>
        <c:axId val="377374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23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Soil Compaction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1.2324951593187493E-2"/>
                  <c:y val="0.3272491150134693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Standards'!$C$78:$H$78</c:f>
              <c:numCache>
                <c:formatCode>General</c:formatCode>
                <c:ptCount val="6"/>
                <c:pt idx="0">
                  <c:v>0</c:v>
                </c:pt>
                <c:pt idx="2">
                  <c:v>6</c:v>
                </c:pt>
                <c:pt idx="5" formatCode="0">
                  <c:v>30</c:v>
                </c:pt>
              </c:numCache>
            </c:numRef>
          </c:xVal>
          <c:yVal>
            <c:numRef>
              <c:f>'Reference Standards'!$C$79:$H$79</c:f>
              <c:numCache>
                <c:formatCode>General</c:formatCode>
                <c:ptCount val="6"/>
                <c:pt idx="0">
                  <c:v>0</c:v>
                </c:pt>
                <c:pt idx="1">
                  <c:v>0.28999999999999998</c:v>
                </c:pt>
                <c:pt idx="2">
                  <c:v>0.3</c:v>
                </c:pt>
                <c:pt idx="3">
                  <c:v>0.69</c:v>
                </c:pt>
                <c:pt idx="4">
                  <c:v>0.7</c:v>
                </c:pt>
                <c:pt idx="5">
                  <c:v>1</c:v>
                </c:pt>
              </c:numCache>
            </c:numRef>
          </c:yVal>
          <c:smooth val="0"/>
          <c:extLst xmlns:c16r2="http://schemas.microsoft.com/office/drawing/2015/06/chart">
            <c:ext xmlns:c16="http://schemas.microsoft.com/office/drawing/2014/chart" uri="{C3380CC4-5D6E-409C-BE32-E72D297353CC}">
              <c16:uniqueId val="{00000001-A7A7-43F8-977B-E678E5DE12E5}"/>
            </c:ext>
          </c:extLst>
        </c:ser>
        <c:dLbls>
          <c:showLegendKey val="0"/>
          <c:showVal val="0"/>
          <c:showCatName val="0"/>
          <c:showSerName val="0"/>
          <c:showPercent val="0"/>
          <c:showBubbleSize val="0"/>
        </c:dLbls>
        <c:axId val="377369640"/>
        <c:axId val="377372776"/>
      </c:scatterChart>
      <c:valAx>
        <c:axId val="3773696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72776"/>
        <c:crosses val="autoZero"/>
        <c:crossBetween val="midCat"/>
      </c:valAx>
      <c:valAx>
        <c:axId val="377372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696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LWD Pieces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'Reference Standards'!$S$46</c:f>
              <c:strCache>
                <c:ptCount val="1"/>
                <c:pt idx="0">
                  <c:v>NF &amp; FAR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0"/>
            <c:dispEq val="1"/>
            <c:trendlineLbl>
              <c:layout>
                <c:manualLayout>
                  <c:x val="0.35370819514126944"/>
                  <c:y val="0.2731430326662429"/>
                </c:manualLayout>
              </c:layout>
              <c:numFmt formatCode="0.00000E+00"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Standards'!$S$43:$W$43</c:f>
              <c:numCache>
                <c:formatCode>General</c:formatCode>
                <c:ptCount val="5"/>
                <c:pt idx="0">
                  <c:v>0</c:v>
                </c:pt>
                <c:pt idx="2">
                  <c:v>10</c:v>
                </c:pt>
                <c:pt idx="4">
                  <c:v>16</c:v>
                </c:pt>
              </c:numCache>
            </c:numRef>
          </c:xVal>
          <c:yVal>
            <c:numRef>
              <c:f>'Reference Standards'!$S$44:$W$44</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C0F2-4820-85A2-8288E5321D06}"/>
            </c:ext>
          </c:extLst>
        </c:ser>
        <c:ser>
          <c:idx val="1"/>
          <c:order val="1"/>
          <c:tx>
            <c:strRef>
              <c:f>'Reference Standards'!$T$46</c:f>
              <c:strCache>
                <c:ptCount val="1"/>
                <c:pt idx="0">
                  <c:v>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1.6873767261956312E-2"/>
                  <c:y val="0.19650872944827"/>
                </c:manualLayout>
              </c:layout>
              <c:numFmt formatCode="#,##0.000000"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Standards'!$W$43:$X$43</c:f>
              <c:numCache>
                <c:formatCode>General</c:formatCode>
                <c:ptCount val="2"/>
                <c:pt idx="0">
                  <c:v>16</c:v>
                </c:pt>
                <c:pt idx="1">
                  <c:v>30</c:v>
                </c:pt>
              </c:numCache>
            </c:numRef>
          </c:xVal>
          <c:yVal>
            <c:numRef>
              <c:f>'Reference Standards'!$W$44:$X$44</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3-C0F2-4820-85A2-8288E5321D06}"/>
            </c:ext>
          </c:extLst>
        </c:ser>
        <c:dLbls>
          <c:showLegendKey val="0"/>
          <c:showVal val="0"/>
          <c:showCatName val="0"/>
          <c:showSerName val="0"/>
          <c:showPercent val="0"/>
          <c:showBubbleSize val="0"/>
        </c:dLbls>
        <c:axId val="379651608"/>
        <c:axId val="379648864"/>
      </c:scatterChart>
      <c:valAx>
        <c:axId val="3796516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9648864"/>
        <c:crosses val="autoZero"/>
        <c:crossBetween val="midCat"/>
      </c:valAx>
      <c:valAx>
        <c:axId val="379648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96516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Overall Condition</a:t>
            </a:r>
            <a:r>
              <a:rPr lang="en-US" sz="2000" baseline="0"/>
              <a:t> Score Tracking</a:t>
            </a:r>
            <a:endParaRPr lang="en-US" sz="2000"/>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strRef>
              <c:f>'Data Summary'!$C$23:$C$24</c:f>
              <c:strCache>
                <c:ptCount val="1"/>
                <c:pt idx="0">
                  <c:v>ECS</c:v>
                </c:pt>
              </c:strCache>
            </c:strRef>
          </c:tx>
          <c:spPr>
            <a:ln w="19050" cap="rnd">
              <a:solidFill>
                <a:srgbClr val="FF0000">
                  <a:alpha val="50000"/>
                </a:srgbClr>
              </a:solidFill>
              <a:prstDash val="dash"/>
              <a:round/>
            </a:ln>
            <a:effectLst/>
          </c:spPr>
          <c:marker>
            <c:symbol val="none"/>
          </c:marker>
          <c:xVal>
            <c:numRef>
              <c:f>('Data Summary'!$F$24,'Data Summary'!$A$35)</c:f>
              <c:numCache>
                <c:formatCode>General</c:formatCode>
                <c:ptCount val="2"/>
                <c:pt idx="0">
                  <c:v>#N/A</c:v>
                </c:pt>
                <c:pt idx="1">
                  <c:v>#N/A</c:v>
                </c:pt>
              </c:numCache>
            </c:numRef>
          </c:xVal>
          <c:yVal>
            <c:numRef>
              <c:f>('Data Summary'!$C$30,'Data Summary'!$C$30)</c:f>
              <c:numCache>
                <c:formatCode>General</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0-377C-4EA9-9858-DD24FD97EF7F}"/>
            </c:ext>
          </c:extLst>
        </c:ser>
        <c:ser>
          <c:idx val="2"/>
          <c:order val="1"/>
          <c:tx>
            <c:strRef>
              <c:f>'Data Summary'!$D$23:$D$24</c:f>
              <c:strCache>
                <c:ptCount val="1"/>
                <c:pt idx="0">
                  <c:v>PCS</c:v>
                </c:pt>
              </c:strCache>
            </c:strRef>
          </c:tx>
          <c:spPr>
            <a:ln w="19050" cap="rnd">
              <a:solidFill>
                <a:srgbClr val="00B0F0"/>
              </a:solidFill>
              <a:round/>
            </a:ln>
            <a:effectLst/>
          </c:spPr>
          <c:marker>
            <c:symbol val="none"/>
          </c:marker>
          <c:xVal>
            <c:numRef>
              <c:f>('Data Summary'!$F$24,'Data Summary'!$A$35)</c:f>
              <c:numCache>
                <c:formatCode>General</c:formatCode>
                <c:ptCount val="2"/>
                <c:pt idx="0">
                  <c:v>#N/A</c:v>
                </c:pt>
                <c:pt idx="1">
                  <c:v>#N/A</c:v>
                </c:pt>
              </c:numCache>
            </c:numRef>
          </c:xVal>
          <c:yVal>
            <c:numRef>
              <c:f>('Data Summary'!$D$30,'Data Summary'!$D$30)</c:f>
              <c:numCache>
                <c:formatCode>General</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1-377C-4EA9-9858-DD24FD97EF7F}"/>
            </c:ext>
          </c:extLst>
        </c:ser>
        <c:ser>
          <c:idx val="3"/>
          <c:order val="2"/>
          <c:tx>
            <c:strRef>
              <c:f>'Data Summary'!$E$23:$E$24</c:f>
              <c:strCache>
                <c:ptCount val="1"/>
                <c:pt idx="0">
                  <c:v>As-Built</c:v>
                </c:pt>
              </c:strCache>
            </c:strRef>
          </c:tx>
          <c:spPr>
            <a:ln w="38100" cap="rnd" cmpd="dbl">
              <a:solidFill>
                <a:schemeClr val="bg2">
                  <a:lumMod val="75000"/>
                </a:schemeClr>
              </a:solidFill>
              <a:prstDash val="dash"/>
              <a:round/>
            </a:ln>
            <a:effectLst/>
          </c:spPr>
          <c:marker>
            <c:symbol val="none"/>
          </c:marker>
          <c:xVal>
            <c:numRef>
              <c:f>('Data Summary'!$F$24,'Data Summary'!$A$35)</c:f>
              <c:numCache>
                <c:formatCode>General</c:formatCode>
                <c:ptCount val="2"/>
                <c:pt idx="0">
                  <c:v>#N/A</c:v>
                </c:pt>
                <c:pt idx="1">
                  <c:v>#N/A</c:v>
                </c:pt>
              </c:numCache>
            </c:numRef>
          </c:xVal>
          <c:yVal>
            <c:numRef>
              <c:f>('Data Summary'!$E$30,'Data Summary'!$E$30)</c:f>
              <c:numCache>
                <c:formatCode>General</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2-377C-4EA9-9858-DD24FD97EF7F}"/>
            </c:ext>
          </c:extLst>
        </c:ser>
        <c:ser>
          <c:idx val="0"/>
          <c:order val="3"/>
          <c:tx>
            <c:v>Monitoring Data</c:v>
          </c:tx>
          <c:spPr>
            <a:ln w="28575" cap="rnd">
              <a:solidFill>
                <a:schemeClr val="tx1"/>
              </a:solidFill>
              <a:round/>
            </a:ln>
            <a:effectLst/>
          </c:spPr>
          <c:marker>
            <c:symbol val="none"/>
          </c:marker>
          <c:xVal>
            <c:numRef>
              <c:f>'Data Summary'!$F$24:$O$24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Summary'!$F$30:$O$30</c:f>
              <c:numCache>
                <c:formatCode>0.00</c:formatCode>
                <c:ptCount val="10"/>
                <c:pt idx="0">
                  <c:v>#N/A</c:v>
                </c:pt>
                <c:pt idx="1">
                  <c:v>#N/A</c:v>
                </c:pt>
                <c:pt idx="2">
                  <c:v>#N/A</c:v>
                </c:pt>
                <c:pt idx="3">
                  <c:v>#N/A</c:v>
                </c:pt>
                <c:pt idx="4">
                  <c:v>#N/A</c:v>
                </c:pt>
                <c:pt idx="5">
                  <c:v>#N/A</c:v>
                </c:pt>
                <c:pt idx="6">
                  <c:v>#N/A</c:v>
                </c:pt>
                <c:pt idx="7">
                  <c:v>#N/A</c:v>
                </c:pt>
                <c:pt idx="8">
                  <c:v>#N/A</c:v>
                </c:pt>
                <c:pt idx="9">
                  <c:v>#N/A</c:v>
                </c:pt>
              </c:numCache>
            </c:numRef>
          </c:yVal>
          <c:smooth val="0"/>
          <c:extLst xmlns:c16r2="http://schemas.microsoft.com/office/drawing/2015/06/chart">
            <c:ext xmlns:c16="http://schemas.microsoft.com/office/drawing/2014/chart" uri="{C3380CC4-5D6E-409C-BE32-E72D297353CC}">
              <c16:uniqueId val="{00000000-D029-4D92-AEAF-A8311BD790D4}"/>
            </c:ext>
          </c:extLst>
        </c:ser>
        <c:dLbls>
          <c:showLegendKey val="0"/>
          <c:showVal val="0"/>
          <c:showCatName val="0"/>
          <c:showSerName val="0"/>
          <c:showPercent val="0"/>
          <c:showBubbleSize val="0"/>
        </c:dLbls>
        <c:axId val="379655136"/>
        <c:axId val="379655528"/>
      </c:scatterChart>
      <c:valAx>
        <c:axId val="379655136"/>
        <c:scaling>
          <c:orientation val="minMax"/>
        </c:scaling>
        <c:delete val="0"/>
        <c:axPos val="b"/>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Monitoring Year</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379655528"/>
        <c:crosses val="autoZero"/>
        <c:crossBetween val="midCat"/>
      </c:valAx>
      <c:valAx>
        <c:axId val="379655528"/>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Condition Score</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37965513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Functional Feet Score </a:t>
            </a:r>
            <a:r>
              <a:rPr lang="en-US" sz="2000" baseline="0"/>
              <a:t>Tracking</a:t>
            </a:r>
            <a:endParaRPr lang="en-US" sz="2000"/>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strRef>
              <c:f>'Data Summary'!$C$23:$C$24</c:f>
              <c:strCache>
                <c:ptCount val="1"/>
                <c:pt idx="0">
                  <c:v>ECS</c:v>
                </c:pt>
              </c:strCache>
            </c:strRef>
          </c:tx>
          <c:spPr>
            <a:ln w="19050" cap="rnd">
              <a:solidFill>
                <a:srgbClr val="FF0000">
                  <a:alpha val="50000"/>
                </a:srgbClr>
              </a:solidFill>
              <a:prstDash val="dash"/>
              <a:round/>
            </a:ln>
            <a:effectLst/>
          </c:spPr>
          <c:marker>
            <c:symbol val="none"/>
          </c:marker>
          <c:xVal>
            <c:numRef>
              <c:f>('Data Summary'!$F$24,'Data Summary'!$A$35)</c:f>
              <c:numCache>
                <c:formatCode>General</c:formatCode>
                <c:ptCount val="2"/>
                <c:pt idx="0">
                  <c:v>#N/A</c:v>
                </c:pt>
                <c:pt idx="1">
                  <c:v>#N/A</c:v>
                </c:pt>
              </c:numCache>
            </c:numRef>
          </c:xVal>
          <c:yVal>
            <c:numRef>
              <c:f>('Data Summary'!$C$31,'Data Summary'!$C$31)</c:f>
              <c:numCache>
                <c:formatCode>General</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1-BF5F-49D1-B7E8-F18A8E0EDA1E}"/>
            </c:ext>
          </c:extLst>
        </c:ser>
        <c:ser>
          <c:idx val="2"/>
          <c:order val="1"/>
          <c:tx>
            <c:strRef>
              <c:f>'Data Summary'!$D$23:$D$24</c:f>
              <c:strCache>
                <c:ptCount val="1"/>
                <c:pt idx="0">
                  <c:v>PCS</c:v>
                </c:pt>
              </c:strCache>
            </c:strRef>
          </c:tx>
          <c:spPr>
            <a:ln w="19050" cap="rnd">
              <a:solidFill>
                <a:srgbClr val="00B0F0"/>
              </a:solidFill>
              <a:round/>
            </a:ln>
            <a:effectLst/>
          </c:spPr>
          <c:marker>
            <c:symbol val="none"/>
          </c:marker>
          <c:xVal>
            <c:numRef>
              <c:f>('Data Summary'!$F$24,'Data Summary'!$A$35)</c:f>
              <c:numCache>
                <c:formatCode>General</c:formatCode>
                <c:ptCount val="2"/>
                <c:pt idx="0">
                  <c:v>#N/A</c:v>
                </c:pt>
                <c:pt idx="1">
                  <c:v>#N/A</c:v>
                </c:pt>
              </c:numCache>
            </c:numRef>
          </c:xVal>
          <c:yVal>
            <c:numRef>
              <c:f>('Data Summary'!$D$31,'Data Summary'!$D$31)</c:f>
              <c:numCache>
                <c:formatCode>General</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2-BF5F-49D1-B7E8-F18A8E0EDA1E}"/>
            </c:ext>
          </c:extLst>
        </c:ser>
        <c:ser>
          <c:idx val="3"/>
          <c:order val="2"/>
          <c:tx>
            <c:strRef>
              <c:f>'Data Summary'!$E$23:$E$24</c:f>
              <c:strCache>
                <c:ptCount val="1"/>
                <c:pt idx="0">
                  <c:v>As-Built</c:v>
                </c:pt>
              </c:strCache>
            </c:strRef>
          </c:tx>
          <c:spPr>
            <a:ln w="38100" cap="rnd" cmpd="dbl">
              <a:solidFill>
                <a:schemeClr val="bg2">
                  <a:lumMod val="75000"/>
                </a:schemeClr>
              </a:solidFill>
              <a:prstDash val="dash"/>
              <a:round/>
            </a:ln>
            <a:effectLst/>
          </c:spPr>
          <c:marker>
            <c:symbol val="none"/>
          </c:marker>
          <c:xVal>
            <c:numRef>
              <c:f>('Data Summary'!$F$24,'Data Summary'!$A$35)</c:f>
              <c:numCache>
                <c:formatCode>General</c:formatCode>
                <c:ptCount val="2"/>
                <c:pt idx="0">
                  <c:v>#N/A</c:v>
                </c:pt>
                <c:pt idx="1">
                  <c:v>#N/A</c:v>
                </c:pt>
              </c:numCache>
            </c:numRef>
          </c:xVal>
          <c:yVal>
            <c:numRef>
              <c:f>('Data Summary'!$E$31,'Data Summary'!$E$31)</c:f>
              <c:numCache>
                <c:formatCode>General</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3-BF5F-49D1-B7E8-F18A8E0EDA1E}"/>
            </c:ext>
          </c:extLst>
        </c:ser>
        <c:ser>
          <c:idx val="0"/>
          <c:order val="3"/>
          <c:tx>
            <c:v>Monitoring Data</c:v>
          </c:tx>
          <c:spPr>
            <a:ln w="28575" cap="rnd">
              <a:solidFill>
                <a:schemeClr val="tx1"/>
              </a:solidFill>
              <a:round/>
            </a:ln>
            <a:effectLst/>
          </c:spPr>
          <c:marker>
            <c:symbol val="none"/>
          </c:marker>
          <c:xVal>
            <c:numRef>
              <c:f>'Data Summary'!$F$24:$O$24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Summary'!$F$31:$O$31</c:f>
              <c:numCache>
                <c:formatCode>General</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0-BF5F-49D1-B7E8-F18A8E0EDA1E}"/>
            </c:ext>
          </c:extLst>
        </c:ser>
        <c:dLbls>
          <c:showLegendKey val="0"/>
          <c:showVal val="0"/>
          <c:showCatName val="0"/>
          <c:showSerName val="0"/>
          <c:showPercent val="0"/>
          <c:showBubbleSize val="0"/>
        </c:dLbls>
        <c:axId val="379656312"/>
        <c:axId val="379661408"/>
      </c:scatterChart>
      <c:valAx>
        <c:axId val="379656312"/>
        <c:scaling>
          <c:orientation val="minMax"/>
        </c:scaling>
        <c:delete val="0"/>
        <c:axPos val="b"/>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Monitoring Year</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379661408"/>
        <c:crosses val="autoZero"/>
        <c:crossBetween val="midCat"/>
      </c:valAx>
      <c:valAx>
        <c:axId val="3796614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Functional Feet</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37965631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Pool Spacing Ratio</a:t>
            </a:r>
            <a:r>
              <a:rPr lang="en-US" baseline="0"/>
              <a:t> for</a:t>
            </a:r>
            <a:r>
              <a:rPr lang="en-US"/>
              <a:t> E5 Streams</a:t>
            </a:r>
          </a:p>
        </c:rich>
      </c:tx>
      <c:layout>
        <c:manualLayout>
          <c:xMode val="edge"/>
          <c:yMode val="edge"/>
          <c:x val="0.13861403207867781"/>
          <c:y val="2.730495767731560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8.9695362614833685E-2"/>
                  <c:y val="-0.51929380260725921"/>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Standards'!$S$353:$W$353</c:f>
              <c:numCache>
                <c:formatCode>0.0</c:formatCode>
                <c:ptCount val="5"/>
                <c:pt idx="0">
                  <c:v>6.75</c:v>
                </c:pt>
                <c:pt idx="2" formatCode="General">
                  <c:v>6</c:v>
                </c:pt>
                <c:pt idx="3" formatCode="General">
                  <c:v>5.0999999999999996</c:v>
                </c:pt>
              </c:numCache>
            </c:numRef>
          </c:xVal>
          <c:yVal>
            <c:numRef>
              <c:f>'Reference Standards'!$S$354:$W$354</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3F89-4AE3-A340-207A3C2A9FF9}"/>
            </c:ext>
          </c:extLst>
        </c:ser>
        <c:ser>
          <c:idx val="0"/>
          <c:order val="1"/>
          <c:tx>
            <c:v>Crest</c:v>
          </c:tx>
          <c:spPr>
            <a:ln w="25400" cap="rnd">
              <a:solidFill>
                <a:srgbClr val="FF0000"/>
              </a:solidFill>
              <a:round/>
            </a:ln>
            <a:effectLst/>
          </c:spPr>
          <c:marker>
            <c:symbol val="none"/>
          </c:marker>
          <c:xVal>
            <c:numLit>
              <c:formatCode>General</c:formatCode>
              <c:ptCount val="2"/>
              <c:pt idx="0">
                <c:v>3</c:v>
              </c:pt>
              <c:pt idx="1">
                <c:v>5</c:v>
              </c:pt>
            </c:numLit>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1-82D0-428D-B895-AAEB0FC68F1A}"/>
            </c:ext>
          </c:extLst>
        </c:ser>
        <c:ser>
          <c:idx val="2"/>
          <c:order val="2"/>
          <c:tx>
            <c:v>Null</c:v>
          </c:tx>
          <c:spPr>
            <a:ln w="25400" cap="rnd">
              <a:solidFill>
                <a:srgbClr val="FF0000"/>
              </a:solidFill>
              <a:round/>
            </a:ln>
            <a:effectLst/>
          </c:spPr>
          <c:marker>
            <c:symbol val="none"/>
          </c:marker>
          <c:xVal>
            <c:numLit>
              <c:formatCode>General</c:formatCode>
              <c:ptCount val="2"/>
              <c:pt idx="0">
                <c:v>1</c:v>
              </c:pt>
              <c:pt idx="1">
                <c:v>3</c:v>
              </c:pt>
            </c:numLit>
          </c:xVal>
          <c:yVal>
            <c:numLit>
              <c:formatCode>General</c:formatCode>
              <c:ptCount val="2"/>
              <c:pt idx="0">
                <c:v>0</c:v>
              </c:pt>
              <c:pt idx="1">
                <c:v>0</c:v>
              </c:pt>
            </c:numLit>
          </c:yVal>
          <c:smooth val="0"/>
          <c:extLst xmlns:c16r2="http://schemas.microsoft.com/office/drawing/2015/06/chart">
            <c:ext xmlns:c16="http://schemas.microsoft.com/office/drawing/2014/chart" uri="{C3380CC4-5D6E-409C-BE32-E72D297353CC}">
              <c16:uniqueId val="{00000001-F800-469B-AFD7-AC2DD162975C}"/>
            </c:ext>
          </c:extLst>
        </c:ser>
        <c:dLbls>
          <c:showLegendKey val="0"/>
          <c:showVal val="0"/>
          <c:showCatName val="0"/>
          <c:showSerName val="0"/>
          <c:showPercent val="0"/>
          <c:showBubbleSize val="0"/>
        </c:dLbls>
        <c:axId val="373630216"/>
        <c:axId val="373629040"/>
      </c:scatterChart>
      <c:valAx>
        <c:axId val="373630216"/>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29040"/>
        <c:crosses val="autoZero"/>
        <c:crossBetween val="midCat"/>
      </c:valAx>
      <c:valAx>
        <c:axId val="373629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302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Big Four Parameters - Condition</a:t>
            </a:r>
            <a:r>
              <a:rPr lang="en-US" sz="2000" baseline="0"/>
              <a:t> Score Tracking</a:t>
            </a:r>
            <a:endParaRPr lang="en-US" sz="2000"/>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4"/>
          <c:order val="0"/>
          <c:tx>
            <c:strRef>
              <c:f>'Data Summary'!$B$7</c:f>
              <c:strCache>
                <c:ptCount val="1"/>
                <c:pt idx="0">
                  <c:v>Floodplain Connectivity</c:v>
                </c:pt>
              </c:strCache>
            </c:strRef>
          </c:tx>
          <c:spPr>
            <a:ln w="19050" cap="rnd">
              <a:solidFill>
                <a:schemeClr val="accent5"/>
              </a:solidFill>
              <a:prstDash val="dash"/>
              <a:round/>
            </a:ln>
            <a:effectLst/>
          </c:spPr>
          <c:marker>
            <c:symbol val="none"/>
          </c:marker>
          <c:xVal>
            <c:numRef>
              <c:f>'Data Summary'!$F$4:$O$4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Summary'!$F$7:$O$7</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4-92C8-4EBD-977B-3E233368AC59}"/>
            </c:ext>
          </c:extLst>
        </c:ser>
        <c:ser>
          <c:idx val="5"/>
          <c:order val="1"/>
          <c:tx>
            <c:strRef>
              <c:f>'Data Summary'!$B$9</c:f>
              <c:strCache>
                <c:ptCount val="1"/>
                <c:pt idx="0">
                  <c:v>Lateral Stability</c:v>
                </c:pt>
              </c:strCache>
            </c:strRef>
          </c:tx>
          <c:spPr>
            <a:ln w="19050" cap="rnd">
              <a:solidFill>
                <a:srgbClr val="FF0000"/>
              </a:solidFill>
              <a:prstDash val="dash"/>
              <a:round/>
            </a:ln>
            <a:effectLst/>
          </c:spPr>
          <c:marker>
            <c:symbol val="none"/>
          </c:marker>
          <c:xVal>
            <c:numRef>
              <c:f>'Data Summary'!$F$4:$O$4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Summary'!$F$9:$O$9</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5-92C8-4EBD-977B-3E233368AC59}"/>
            </c:ext>
          </c:extLst>
        </c:ser>
        <c:ser>
          <c:idx val="6"/>
          <c:order val="2"/>
          <c:tx>
            <c:strRef>
              <c:f>'Data Summary'!$B$10</c:f>
              <c:strCache>
                <c:ptCount val="1"/>
                <c:pt idx="0">
                  <c:v>Riparian Vegetation</c:v>
                </c:pt>
              </c:strCache>
            </c:strRef>
          </c:tx>
          <c:spPr>
            <a:ln w="19050" cap="rnd">
              <a:solidFill>
                <a:srgbClr val="92D050"/>
              </a:solidFill>
              <a:prstDash val="dash"/>
              <a:round/>
            </a:ln>
            <a:effectLst/>
          </c:spPr>
          <c:marker>
            <c:symbol val="none"/>
          </c:marker>
          <c:xVal>
            <c:numRef>
              <c:f>'Data Summary'!$F$4:$O$4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Summary'!$F$10:$O$10</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6-92C8-4EBD-977B-3E233368AC59}"/>
            </c:ext>
          </c:extLst>
        </c:ser>
        <c:ser>
          <c:idx val="7"/>
          <c:order val="3"/>
          <c:tx>
            <c:strRef>
              <c:f>'Data Summary'!$B$12</c:f>
              <c:strCache>
                <c:ptCount val="1"/>
                <c:pt idx="0">
                  <c:v>Bed Form Diversity</c:v>
                </c:pt>
              </c:strCache>
            </c:strRef>
          </c:tx>
          <c:spPr>
            <a:ln w="19050" cap="rnd">
              <a:solidFill>
                <a:srgbClr val="FFC000"/>
              </a:solidFill>
              <a:prstDash val="dash"/>
              <a:round/>
            </a:ln>
            <a:effectLst/>
          </c:spPr>
          <c:marker>
            <c:symbol val="none"/>
          </c:marker>
          <c:xVal>
            <c:numRef>
              <c:f>'Data Summary'!$F$4:$O$4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Summary'!$F$12:$O$12</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7-92C8-4EBD-977B-3E233368AC59}"/>
            </c:ext>
          </c:extLst>
        </c:ser>
        <c:ser>
          <c:idx val="0"/>
          <c:order val="4"/>
          <c:tx>
            <c:v>Monitoring Data</c:v>
          </c:tx>
          <c:spPr>
            <a:ln w="28575" cap="rnd">
              <a:solidFill>
                <a:schemeClr val="tx1"/>
              </a:solidFill>
              <a:round/>
            </a:ln>
            <a:effectLst/>
          </c:spPr>
          <c:marker>
            <c:symbol val="none"/>
          </c:marker>
          <c:xVal>
            <c:numRef>
              <c:f>'Data Summary'!$F$24:$O$24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Summary'!$F$30:$O$30</c:f>
              <c:numCache>
                <c:formatCode>0.00</c:formatCode>
                <c:ptCount val="10"/>
                <c:pt idx="0">
                  <c:v>#N/A</c:v>
                </c:pt>
                <c:pt idx="1">
                  <c:v>#N/A</c:v>
                </c:pt>
                <c:pt idx="2">
                  <c:v>#N/A</c:v>
                </c:pt>
                <c:pt idx="3">
                  <c:v>#N/A</c:v>
                </c:pt>
                <c:pt idx="4">
                  <c:v>#N/A</c:v>
                </c:pt>
                <c:pt idx="5">
                  <c:v>#N/A</c:v>
                </c:pt>
                <c:pt idx="6">
                  <c:v>#N/A</c:v>
                </c:pt>
                <c:pt idx="7">
                  <c:v>#N/A</c:v>
                </c:pt>
                <c:pt idx="8">
                  <c:v>#N/A</c:v>
                </c:pt>
                <c:pt idx="9">
                  <c:v>#N/A</c:v>
                </c:pt>
              </c:numCache>
            </c:numRef>
          </c:yVal>
          <c:smooth val="0"/>
          <c:extLst xmlns:c16r2="http://schemas.microsoft.com/office/drawing/2015/06/chart">
            <c:ext xmlns:c16="http://schemas.microsoft.com/office/drawing/2014/chart" uri="{C3380CC4-5D6E-409C-BE32-E72D297353CC}">
              <c16:uniqueId val="{00000003-92C8-4EBD-977B-3E233368AC59}"/>
            </c:ext>
          </c:extLst>
        </c:ser>
        <c:dLbls>
          <c:showLegendKey val="0"/>
          <c:showVal val="0"/>
          <c:showCatName val="0"/>
          <c:showSerName val="0"/>
          <c:showPercent val="0"/>
          <c:showBubbleSize val="0"/>
        </c:dLbls>
        <c:axId val="379659056"/>
        <c:axId val="379661800"/>
      </c:scatterChart>
      <c:valAx>
        <c:axId val="379659056"/>
        <c:scaling>
          <c:orientation val="minMax"/>
        </c:scaling>
        <c:delete val="0"/>
        <c:axPos val="b"/>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Monitoring Year</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379661800"/>
        <c:crosses val="autoZero"/>
        <c:crossBetween val="midCat"/>
      </c:valAx>
      <c:valAx>
        <c:axId val="379661800"/>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Condition Score</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37965905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Functional Category - Condition</a:t>
            </a:r>
            <a:r>
              <a:rPr lang="en-US" sz="2000" baseline="0"/>
              <a:t> Score Tracking</a:t>
            </a:r>
            <a:endParaRPr lang="en-US" sz="2000"/>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5"/>
          <c:order val="0"/>
          <c:tx>
            <c:strRef>
              <c:f>'Data Summary'!$A$25</c:f>
              <c:strCache>
                <c:ptCount val="1"/>
                <c:pt idx="0">
                  <c:v>Hydrology</c:v>
                </c:pt>
              </c:strCache>
            </c:strRef>
          </c:tx>
          <c:spPr>
            <a:ln w="19050" cap="rnd">
              <a:solidFill>
                <a:srgbClr val="00B0F0"/>
              </a:solidFill>
              <a:prstDash val="dash"/>
              <a:round/>
            </a:ln>
            <a:effectLst/>
          </c:spPr>
          <c:marker>
            <c:symbol val="none"/>
          </c:marker>
          <c:xVal>
            <c:numRef>
              <c:f>'Data Summary'!$F$24:$O$24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Summary'!$F$25:$O$25</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1-53E5-43F6-935D-28E090B64FB7}"/>
            </c:ext>
          </c:extLst>
        </c:ser>
        <c:ser>
          <c:idx val="6"/>
          <c:order val="1"/>
          <c:tx>
            <c:strRef>
              <c:f>'Data Summary'!$A$26</c:f>
              <c:strCache>
                <c:ptCount val="1"/>
                <c:pt idx="0">
                  <c:v>Hydraulics</c:v>
                </c:pt>
              </c:strCache>
            </c:strRef>
          </c:tx>
          <c:spPr>
            <a:ln w="19050" cap="rnd">
              <a:solidFill>
                <a:srgbClr val="0070C0"/>
              </a:solidFill>
              <a:prstDash val="dash"/>
              <a:round/>
            </a:ln>
            <a:effectLst/>
          </c:spPr>
          <c:marker>
            <c:symbol val="none"/>
          </c:marker>
          <c:xVal>
            <c:numRef>
              <c:f>'Data Summary'!$F$24:$O$24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Summary'!$F$26:$O$26</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2-53E5-43F6-935D-28E090B64FB7}"/>
            </c:ext>
          </c:extLst>
        </c:ser>
        <c:ser>
          <c:idx val="4"/>
          <c:order val="2"/>
          <c:tx>
            <c:strRef>
              <c:f>'Data Summary'!$A$27:$B$27</c:f>
              <c:strCache>
                <c:ptCount val="2"/>
                <c:pt idx="0">
                  <c:v>Geomorphology</c:v>
                </c:pt>
              </c:strCache>
            </c:strRef>
          </c:tx>
          <c:spPr>
            <a:ln w="19050" cap="rnd">
              <a:solidFill>
                <a:schemeClr val="accent2"/>
              </a:solidFill>
              <a:prstDash val="dash"/>
              <a:round/>
            </a:ln>
            <a:effectLst/>
          </c:spPr>
          <c:marker>
            <c:symbol val="none"/>
          </c:marker>
          <c:xVal>
            <c:numRef>
              <c:f>'Data Summary'!$F$24:$O$24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Summary'!$F$27:$O$27</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0-53E5-43F6-935D-28E090B64FB7}"/>
            </c:ext>
          </c:extLst>
        </c:ser>
        <c:ser>
          <c:idx val="7"/>
          <c:order val="3"/>
          <c:tx>
            <c:strRef>
              <c:f>'Data Summary'!$A$28</c:f>
              <c:strCache>
                <c:ptCount val="1"/>
                <c:pt idx="0">
                  <c:v>Physicochemical</c:v>
                </c:pt>
              </c:strCache>
            </c:strRef>
          </c:tx>
          <c:spPr>
            <a:ln w="19050" cap="rnd">
              <a:solidFill>
                <a:schemeClr val="accent4"/>
              </a:solidFill>
              <a:prstDash val="dash"/>
              <a:round/>
            </a:ln>
            <a:effectLst/>
          </c:spPr>
          <c:marker>
            <c:symbol val="none"/>
          </c:marker>
          <c:xVal>
            <c:numRef>
              <c:f>'Data Summary'!$F$24:$O$24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Summary'!$F$28:$O$28</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3-53E5-43F6-935D-28E090B64FB7}"/>
            </c:ext>
          </c:extLst>
        </c:ser>
        <c:ser>
          <c:idx val="1"/>
          <c:order val="4"/>
          <c:tx>
            <c:strRef>
              <c:f>'Data Summary'!$A$29:$B$29</c:f>
              <c:strCache>
                <c:ptCount val="2"/>
                <c:pt idx="0">
                  <c:v>Biology</c:v>
                </c:pt>
              </c:strCache>
            </c:strRef>
          </c:tx>
          <c:spPr>
            <a:ln w="19050" cap="rnd">
              <a:solidFill>
                <a:srgbClr val="92D050"/>
              </a:solidFill>
              <a:prstDash val="dash"/>
              <a:round/>
            </a:ln>
            <a:effectLst/>
          </c:spPr>
          <c:marker>
            <c:symbol val="none"/>
          </c:marker>
          <c:xVal>
            <c:numRef>
              <c:f>'Data Summary'!$F$24:$O$24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Summary'!$F$29:$O$29</c:f>
              <c:numCache>
                <c:formatCode>0.00</c:formatCode>
                <c:ptCount val="10"/>
                <c:pt idx="0">
                  <c:v>0</c:v>
                </c:pt>
                <c:pt idx="1">
                  <c:v>0</c:v>
                </c:pt>
                <c:pt idx="2">
                  <c:v>0</c:v>
                </c:pt>
                <c:pt idx="3">
                  <c:v>0</c:v>
                </c:pt>
                <c:pt idx="4">
                  <c:v>0</c:v>
                </c:pt>
                <c:pt idx="5">
                  <c:v>0</c:v>
                </c:pt>
                <c:pt idx="6">
                  <c:v>0</c:v>
                </c:pt>
                <c:pt idx="7">
                  <c:v>0</c:v>
                </c:pt>
                <c:pt idx="8">
                  <c:v>0</c:v>
                </c:pt>
                <c:pt idx="9">
                  <c:v>0</c:v>
                </c:pt>
              </c:numCache>
            </c:numRef>
          </c:yVal>
          <c:smooth val="0"/>
          <c:extLst xmlns:c16r2="http://schemas.microsoft.com/office/drawing/2015/06/chart">
            <c:ext xmlns:c16="http://schemas.microsoft.com/office/drawing/2014/chart" uri="{C3380CC4-5D6E-409C-BE32-E72D297353CC}">
              <c16:uniqueId val="{00000005-53E5-43F6-935D-28E090B64FB7}"/>
            </c:ext>
          </c:extLst>
        </c:ser>
        <c:ser>
          <c:idx val="0"/>
          <c:order val="5"/>
          <c:tx>
            <c:v>Monitoring Data</c:v>
          </c:tx>
          <c:spPr>
            <a:ln w="28575" cap="rnd">
              <a:solidFill>
                <a:schemeClr val="tx1"/>
              </a:solidFill>
              <a:round/>
            </a:ln>
            <a:effectLst/>
          </c:spPr>
          <c:marker>
            <c:symbol val="none"/>
          </c:marker>
          <c:xVal>
            <c:numRef>
              <c:f>'Data Summary'!$F$24:$O$24</c:f>
              <c:numCache>
                <c:formatCode>General</c:formatCode>
                <c:ptCount val="10"/>
                <c:pt idx="0">
                  <c:v>#N/A</c:v>
                </c:pt>
                <c:pt idx="1">
                  <c:v>#N/A</c:v>
                </c:pt>
                <c:pt idx="2">
                  <c:v>#N/A</c:v>
                </c:pt>
                <c:pt idx="3">
                  <c:v>#N/A</c:v>
                </c:pt>
                <c:pt idx="4">
                  <c:v>#N/A</c:v>
                </c:pt>
                <c:pt idx="5">
                  <c:v>#N/A</c:v>
                </c:pt>
                <c:pt idx="6">
                  <c:v>#N/A</c:v>
                </c:pt>
                <c:pt idx="7">
                  <c:v>#N/A</c:v>
                </c:pt>
                <c:pt idx="8">
                  <c:v>#N/A</c:v>
                </c:pt>
                <c:pt idx="9">
                  <c:v>#N/A</c:v>
                </c:pt>
              </c:numCache>
            </c:numRef>
          </c:xVal>
          <c:yVal>
            <c:numRef>
              <c:f>'Data Summary'!$F$30:$O$30</c:f>
              <c:numCache>
                <c:formatCode>0.00</c:formatCode>
                <c:ptCount val="10"/>
                <c:pt idx="0">
                  <c:v>#N/A</c:v>
                </c:pt>
                <c:pt idx="1">
                  <c:v>#N/A</c:v>
                </c:pt>
                <c:pt idx="2">
                  <c:v>#N/A</c:v>
                </c:pt>
                <c:pt idx="3">
                  <c:v>#N/A</c:v>
                </c:pt>
                <c:pt idx="4">
                  <c:v>#N/A</c:v>
                </c:pt>
                <c:pt idx="5">
                  <c:v>#N/A</c:v>
                </c:pt>
                <c:pt idx="6">
                  <c:v>#N/A</c:v>
                </c:pt>
                <c:pt idx="7">
                  <c:v>#N/A</c:v>
                </c:pt>
                <c:pt idx="8">
                  <c:v>#N/A</c:v>
                </c:pt>
                <c:pt idx="9">
                  <c:v>#N/A</c:v>
                </c:pt>
              </c:numCache>
            </c:numRef>
          </c:yVal>
          <c:smooth val="0"/>
          <c:extLst xmlns:c16r2="http://schemas.microsoft.com/office/drawing/2015/06/chart">
            <c:ext xmlns:c16="http://schemas.microsoft.com/office/drawing/2014/chart" uri="{C3380CC4-5D6E-409C-BE32-E72D297353CC}">
              <c16:uniqueId val="{00000004-53E5-43F6-935D-28E090B64FB7}"/>
            </c:ext>
          </c:extLst>
        </c:ser>
        <c:dLbls>
          <c:showLegendKey val="0"/>
          <c:showVal val="0"/>
          <c:showCatName val="0"/>
          <c:showSerName val="0"/>
          <c:showPercent val="0"/>
          <c:showBubbleSize val="0"/>
        </c:dLbls>
        <c:axId val="379659840"/>
        <c:axId val="379660232"/>
      </c:scatterChart>
      <c:valAx>
        <c:axId val="379659840"/>
        <c:scaling>
          <c:orientation val="minMax"/>
        </c:scaling>
        <c:delete val="0"/>
        <c:axPos val="b"/>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Monitoring Year</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379660232"/>
        <c:crosses val="autoZero"/>
        <c:crossBetween val="midCat"/>
      </c:valAx>
      <c:valAx>
        <c:axId val="379660232"/>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Condition Score</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37965984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baseline="0">
                <a:effectLst/>
              </a:rPr>
              <a:t>Pool Spacing Ratio for C4 and C5 Streams</a:t>
            </a:r>
            <a:endParaRPr lang="en-US" sz="14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Rising Limb</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6.6150016236912593E-2"/>
                  <c:y val="0.16377821713405399"/>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Standards'!$S$385:$W$385</c:f>
              <c:numCache>
                <c:formatCode>General</c:formatCode>
                <c:ptCount val="5"/>
                <c:pt idx="0" formatCode="0.0">
                  <c:v>2.3078698361412417</c:v>
                </c:pt>
                <c:pt idx="2">
                  <c:v>3</c:v>
                </c:pt>
                <c:pt idx="3">
                  <c:v>3.9</c:v>
                </c:pt>
              </c:numCache>
            </c:numRef>
          </c:xVal>
          <c:yVal>
            <c:numRef>
              <c:f>'Reference Standards'!$S$387:$W$387</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C14F-47BE-9206-E7937E692AD6}"/>
            </c:ext>
          </c:extLst>
        </c:ser>
        <c:ser>
          <c:idx val="1"/>
          <c:order val="1"/>
          <c:tx>
            <c:v>Falling Limb</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8.5731700742790615E-2"/>
                  <c:y val="-0.3232178179881470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Standards'!$S$386:$W$386</c:f>
              <c:numCache>
                <c:formatCode>General</c:formatCode>
                <c:ptCount val="5"/>
                <c:pt idx="0" formatCode="0.0">
                  <c:v>8.0760947595118449</c:v>
                </c:pt>
                <c:pt idx="2">
                  <c:v>7</c:v>
                </c:pt>
                <c:pt idx="3">
                  <c:v>5.6</c:v>
                </c:pt>
              </c:numCache>
            </c:numRef>
          </c:xVal>
          <c:yVal>
            <c:numRef>
              <c:f>'Reference Standards'!$S$387:$W$387</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1-C14F-47BE-9206-E7937E692AD6}"/>
            </c:ext>
          </c:extLst>
        </c:ser>
        <c:ser>
          <c:idx val="3"/>
          <c:order val="2"/>
          <c:tx>
            <c:v>Crest</c:v>
          </c:tx>
          <c:spPr>
            <a:ln w="25400" cap="rnd">
              <a:solidFill>
                <a:srgbClr val="FF0000"/>
              </a:solidFill>
              <a:round/>
            </a:ln>
            <a:effectLst/>
          </c:spPr>
          <c:marker>
            <c:symbol val="none"/>
          </c:marker>
          <c:xVal>
            <c:numLit>
              <c:formatCode>General</c:formatCode>
              <c:ptCount val="2"/>
              <c:pt idx="0">
                <c:v>4</c:v>
              </c:pt>
              <c:pt idx="1">
                <c:v>5.5</c:v>
              </c:pt>
            </c:numLit>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3-E3E6-4F08-9E58-9A6B24D32C81}"/>
            </c:ext>
          </c:extLst>
        </c:ser>
        <c:dLbls>
          <c:showLegendKey val="0"/>
          <c:showVal val="0"/>
          <c:showCatName val="0"/>
          <c:showSerName val="0"/>
          <c:showPercent val="0"/>
          <c:showBubbleSize val="0"/>
        </c:dLbls>
        <c:axId val="373633744"/>
        <c:axId val="373630608"/>
      </c:scatterChart>
      <c:valAx>
        <c:axId val="373633744"/>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30608"/>
        <c:crosses val="autoZero"/>
        <c:crossBetween val="midCat"/>
      </c:valAx>
      <c:valAx>
        <c:axId val="373630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337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Pool Spacing Ratio for B4 and B4c Streams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21161146614480025"/>
                  <c:y val="-0.19397669909221557"/>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Standards'!$S$419:$W$419</c:f>
              <c:numCache>
                <c:formatCode>General</c:formatCode>
                <c:ptCount val="5"/>
                <c:pt idx="0">
                  <c:v>7.1</c:v>
                </c:pt>
                <c:pt idx="2">
                  <c:v>6</c:v>
                </c:pt>
                <c:pt idx="3">
                  <c:v>4.5999999999999996</c:v>
                </c:pt>
              </c:numCache>
            </c:numRef>
          </c:xVal>
          <c:yVal>
            <c:numRef>
              <c:f>'Reference Standards'!$S$420:$W$420</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ED1E-4832-8408-8CBD3FC589E3}"/>
            </c:ext>
          </c:extLst>
        </c:ser>
        <c:ser>
          <c:idx val="1"/>
          <c:order val="1"/>
          <c:tx>
            <c:v>Crest</c:v>
          </c:tx>
          <c:spPr>
            <a:ln w="25400" cap="rnd">
              <a:solidFill>
                <a:srgbClr val="FF0000"/>
              </a:solidFill>
              <a:round/>
            </a:ln>
            <a:effectLst/>
          </c:spPr>
          <c:marker>
            <c:symbol val="none"/>
          </c:marker>
          <c:xVal>
            <c:numLit>
              <c:formatCode>General</c:formatCode>
              <c:ptCount val="2"/>
              <c:pt idx="0">
                <c:v>4.5</c:v>
              </c:pt>
              <c:pt idx="1">
                <c:v>1</c:v>
              </c:pt>
            </c:numLit>
          </c:xVal>
          <c:yVal>
            <c:numLit>
              <c:formatCode>General</c:formatCode>
              <c:ptCount val="2"/>
              <c:pt idx="0">
                <c:v>1</c:v>
              </c:pt>
              <c:pt idx="1">
                <c:v>1</c:v>
              </c:pt>
            </c:numLit>
          </c:yVal>
          <c:smooth val="0"/>
          <c:extLst xmlns:c16r2="http://schemas.microsoft.com/office/drawing/2015/06/chart">
            <c:ext xmlns:c16="http://schemas.microsoft.com/office/drawing/2014/chart" uri="{C3380CC4-5D6E-409C-BE32-E72D297353CC}">
              <c16:uniqueId val="{00000001-ED2F-4A18-847D-37E730A1F002}"/>
            </c:ext>
          </c:extLst>
        </c:ser>
        <c:dLbls>
          <c:showLegendKey val="0"/>
          <c:showVal val="0"/>
          <c:showCatName val="0"/>
          <c:showSerName val="0"/>
          <c:showPercent val="0"/>
          <c:showBubbleSize val="0"/>
        </c:dLbls>
        <c:axId val="373629824"/>
        <c:axId val="373632568"/>
      </c:scatterChart>
      <c:valAx>
        <c:axId val="3736298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32568"/>
        <c:crosses val="autoZero"/>
        <c:crossBetween val="midCat"/>
      </c:valAx>
      <c:valAx>
        <c:axId val="373632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298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Pool Depth Ratio for  for C4, C5, E4 and E5 Streams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4.1920268829909173E-2"/>
                  <c:y val="0.1026817723908937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5"/>
                      </a:solidFill>
                      <a:latin typeface="+mn-lt"/>
                      <a:ea typeface="+mn-ea"/>
                      <a:cs typeface="+mn-cs"/>
                    </a:defRPr>
                  </a:pPr>
                  <a:endParaRPr lang="en-US"/>
                </a:p>
              </c:txPr>
            </c:trendlineLbl>
          </c:trendline>
          <c:xVal>
            <c:numRef>
              <c:f>'Reference Standards'!$S$452:$W$452</c:f>
              <c:numCache>
                <c:formatCode>General</c:formatCode>
                <c:ptCount val="5"/>
                <c:pt idx="0" formatCode="0.0">
                  <c:v>1.175054376359409</c:v>
                </c:pt>
                <c:pt idx="2">
                  <c:v>1.4</c:v>
                </c:pt>
                <c:pt idx="4">
                  <c:v>1.7</c:v>
                </c:pt>
              </c:numCache>
            </c:numRef>
          </c:xVal>
          <c:yVal>
            <c:numRef>
              <c:f>'Reference Standards'!$S$453:$W$453</c:f>
              <c:numCache>
                <c:formatCode>General</c:formatCode>
                <c:ptCount val="5"/>
                <c:pt idx="0">
                  <c:v>0</c:v>
                </c:pt>
                <c:pt idx="1">
                  <c:v>0.28999999999999998</c:v>
                </c:pt>
                <c:pt idx="2">
                  <c:v>0.3</c:v>
                </c:pt>
                <c:pt idx="3">
                  <c:v>0.69</c:v>
                </c:pt>
                <c:pt idx="4">
                  <c:v>0.7</c:v>
                </c:pt>
              </c:numCache>
            </c:numRef>
          </c:yVal>
          <c:smooth val="0"/>
          <c:extLst xmlns:c16r2="http://schemas.microsoft.com/office/drawing/2015/06/chart">
            <c:ext xmlns:c16="http://schemas.microsoft.com/office/drawing/2014/chart" uri="{C3380CC4-5D6E-409C-BE32-E72D297353CC}">
              <c16:uniqueId val="{00000000-8EC5-4A07-8D5B-D3562716BC89}"/>
            </c:ext>
          </c:extLst>
        </c:ser>
        <c:ser>
          <c:idx val="1"/>
          <c:order val="1"/>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5.5941107368031935E-2"/>
                  <c:y val="0.14900759074064823"/>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accent2"/>
                      </a:solidFill>
                      <a:latin typeface="+mn-lt"/>
                      <a:ea typeface="+mn-ea"/>
                      <a:cs typeface="+mn-cs"/>
                    </a:defRPr>
                  </a:pPr>
                  <a:endParaRPr lang="en-US"/>
                </a:p>
              </c:txPr>
            </c:trendlineLbl>
          </c:trendline>
          <c:xVal>
            <c:numRef>
              <c:f>'Reference Standards'!$W$452:$X$452</c:f>
              <c:numCache>
                <c:formatCode>0.0</c:formatCode>
                <c:ptCount val="2"/>
                <c:pt idx="0" formatCode="General">
                  <c:v>1.7</c:v>
                </c:pt>
                <c:pt idx="1">
                  <c:v>2.8</c:v>
                </c:pt>
              </c:numCache>
            </c:numRef>
          </c:xVal>
          <c:yVal>
            <c:numRef>
              <c:f>'Reference Standards'!$W$453:$X$453</c:f>
              <c:numCache>
                <c:formatCode>General</c:formatCode>
                <c:ptCount val="2"/>
                <c:pt idx="0">
                  <c:v>0.7</c:v>
                </c:pt>
                <c:pt idx="1">
                  <c:v>1</c:v>
                </c:pt>
              </c:numCache>
            </c:numRef>
          </c:yVal>
          <c:smooth val="0"/>
          <c:extLst xmlns:c16r2="http://schemas.microsoft.com/office/drawing/2015/06/chart">
            <c:ext xmlns:c16="http://schemas.microsoft.com/office/drawing/2014/chart" uri="{C3380CC4-5D6E-409C-BE32-E72D297353CC}">
              <c16:uniqueId val="{00000000-6121-4ADE-A1F7-55E2A9FD0207}"/>
            </c:ext>
          </c:extLst>
        </c:ser>
        <c:dLbls>
          <c:showLegendKey val="0"/>
          <c:showVal val="0"/>
          <c:showCatName val="0"/>
          <c:showSerName val="0"/>
          <c:showPercent val="0"/>
          <c:showBubbleSize val="0"/>
        </c:dLbls>
        <c:axId val="373627080"/>
        <c:axId val="373627472"/>
      </c:scatterChart>
      <c:valAx>
        <c:axId val="37362708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27472"/>
        <c:crosses val="autoZero"/>
        <c:crossBetween val="midCat"/>
      </c:valAx>
      <c:valAx>
        <c:axId val="373627472"/>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36270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47" Type="http://schemas.openxmlformats.org/officeDocument/2006/relationships/chart" Target="../charts/chart47.xml"/><Relationship Id="rId50" Type="http://schemas.openxmlformats.org/officeDocument/2006/relationships/chart" Target="../charts/chart50.xml"/><Relationship Id="rId55" Type="http://schemas.openxmlformats.org/officeDocument/2006/relationships/chart" Target="../charts/chart55.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46" Type="http://schemas.openxmlformats.org/officeDocument/2006/relationships/chart" Target="../charts/chart46.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chart" Target="../charts/chart41.xml"/><Relationship Id="rId54" Type="http://schemas.openxmlformats.org/officeDocument/2006/relationships/chart" Target="../charts/chart54.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45" Type="http://schemas.openxmlformats.org/officeDocument/2006/relationships/chart" Target="../charts/chart45.xml"/><Relationship Id="rId53" Type="http://schemas.openxmlformats.org/officeDocument/2006/relationships/chart" Target="../charts/chart53.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49" Type="http://schemas.openxmlformats.org/officeDocument/2006/relationships/chart" Target="../charts/chart49.xml"/><Relationship Id="rId57" Type="http://schemas.openxmlformats.org/officeDocument/2006/relationships/chart" Target="../charts/chart57.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4" Type="http://schemas.openxmlformats.org/officeDocument/2006/relationships/chart" Target="../charts/chart44.xml"/><Relationship Id="rId52" Type="http://schemas.openxmlformats.org/officeDocument/2006/relationships/chart" Target="../charts/chart52.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43" Type="http://schemas.openxmlformats.org/officeDocument/2006/relationships/chart" Target="../charts/chart43.xml"/><Relationship Id="rId48" Type="http://schemas.openxmlformats.org/officeDocument/2006/relationships/chart" Target="../charts/chart48.xml"/><Relationship Id="rId56" Type="http://schemas.openxmlformats.org/officeDocument/2006/relationships/chart" Target="../charts/chart56.xml"/><Relationship Id="rId8" Type="http://schemas.openxmlformats.org/officeDocument/2006/relationships/chart" Target="../charts/chart8.xml"/><Relationship Id="rId51" Type="http://schemas.openxmlformats.org/officeDocument/2006/relationships/chart" Target="../charts/chart51.xml"/><Relationship Id="rId3" Type="http://schemas.openxmlformats.org/officeDocument/2006/relationships/chart" Target="../charts/chart3.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0.xml"/><Relationship Id="rId2" Type="http://schemas.openxmlformats.org/officeDocument/2006/relationships/chart" Target="../charts/chart59.xml"/><Relationship Id="rId1" Type="http://schemas.openxmlformats.org/officeDocument/2006/relationships/chart" Target="../charts/chart58.xml"/><Relationship Id="rId4" Type="http://schemas.openxmlformats.org/officeDocument/2006/relationships/chart" Target="../charts/chart61.xml"/></Relationships>
</file>

<file path=xl/drawings/drawing1.xml><?xml version="1.0" encoding="utf-8"?>
<xdr:wsDr xmlns:xdr="http://schemas.openxmlformats.org/drawingml/2006/spreadsheetDrawing" xmlns:a="http://schemas.openxmlformats.org/drawingml/2006/main">
  <xdr:twoCellAnchor>
    <xdr:from>
      <xdr:col>1</xdr:col>
      <xdr:colOff>561</xdr:colOff>
      <xdr:row>7</xdr:row>
      <xdr:rowOff>7844</xdr:rowOff>
    </xdr:from>
    <xdr:to>
      <xdr:col>6</xdr:col>
      <xdr:colOff>248211</xdr:colOff>
      <xdr:row>14</xdr:row>
      <xdr:rowOff>177613</xdr:rowOff>
    </xdr:to>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610161" y="1352550"/>
          <a:ext cx="3672168" cy="14248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Expand</a:t>
          </a:r>
          <a:r>
            <a:rPr lang="en-US" sz="1100" baseline="0"/>
            <a:t> on the programmatic goals of this project:</a:t>
          </a:r>
        </a:p>
        <a:p>
          <a:endParaRPr lang="en-US" sz="1100"/>
        </a:p>
      </xdr:txBody>
    </xdr:sp>
    <xdr:clientData/>
  </xdr:twoCellAnchor>
  <xdr:twoCellAnchor>
    <xdr:from>
      <xdr:col>1</xdr:col>
      <xdr:colOff>9525</xdr:colOff>
      <xdr:row>15</xdr:row>
      <xdr:rowOff>62192</xdr:rowOff>
    </xdr:from>
    <xdr:to>
      <xdr:col>6</xdr:col>
      <xdr:colOff>257175</xdr:colOff>
      <xdr:row>23</xdr:row>
      <xdr:rowOff>81242</xdr:rowOff>
    </xdr:to>
    <xdr:sp macro="" textlink="">
      <xdr:nvSpPr>
        <xdr:cNvPr id="3" name="TextBox 2">
          <a:extLst>
            <a:ext uri="{FF2B5EF4-FFF2-40B4-BE49-F238E27FC236}">
              <a16:creationId xmlns="" xmlns:a16="http://schemas.microsoft.com/office/drawing/2014/main" id="{00000000-0008-0000-0000-000003000000}"/>
            </a:ext>
          </a:extLst>
        </xdr:cNvPr>
        <xdr:cNvSpPr txBox="1"/>
      </xdr:nvSpPr>
      <xdr:spPr>
        <a:xfrm>
          <a:off x="619125" y="2841251"/>
          <a:ext cx="3672168" cy="145340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Explain the restoration</a:t>
          </a:r>
          <a:r>
            <a:rPr lang="en-US" sz="1100" baseline="0"/>
            <a:t> potential of this project based on the programmatic goals:</a:t>
          </a:r>
        </a:p>
        <a:p>
          <a:endParaRPr lang="en-US" sz="1100"/>
        </a:p>
      </xdr:txBody>
    </xdr:sp>
    <xdr:clientData/>
  </xdr:twoCellAnchor>
  <xdr:twoCellAnchor>
    <xdr:from>
      <xdr:col>1</xdr:col>
      <xdr:colOff>9525</xdr:colOff>
      <xdr:row>23</xdr:row>
      <xdr:rowOff>133349</xdr:rowOff>
    </xdr:from>
    <xdr:to>
      <xdr:col>6</xdr:col>
      <xdr:colOff>257175</xdr:colOff>
      <xdr:row>31</xdr:row>
      <xdr:rowOff>123824</xdr:rowOff>
    </xdr:to>
    <xdr:sp macro="" textlink="">
      <xdr:nvSpPr>
        <xdr:cNvPr id="4" name="TextBox 3">
          <a:extLst>
            <a:ext uri="{FF2B5EF4-FFF2-40B4-BE49-F238E27FC236}">
              <a16:creationId xmlns="" xmlns:a16="http://schemas.microsoft.com/office/drawing/2014/main" id="{00000000-0008-0000-0000-000004000000}"/>
            </a:ext>
          </a:extLst>
        </xdr:cNvPr>
        <xdr:cNvSpPr txBox="1"/>
      </xdr:nvSpPr>
      <xdr:spPr>
        <a:xfrm>
          <a:off x="619125" y="4346761"/>
          <a:ext cx="3672168" cy="14248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Explain </a:t>
          </a:r>
          <a:r>
            <a:rPr lang="en-US" sz="1100" baseline="0"/>
            <a:t>the goals and objectives for this project:</a:t>
          </a:r>
        </a:p>
        <a:p>
          <a:endParaRPr lang="en-US" sz="1100"/>
        </a:p>
        <a:p>
          <a:r>
            <a:rPr lang="en-US" sz="1100"/>
            <a:t>Goals:</a:t>
          </a:r>
          <a:r>
            <a:rPr lang="en-US" sz="1100" baseline="0"/>
            <a:t> </a:t>
          </a:r>
        </a:p>
        <a:p>
          <a:endParaRPr lang="en-US" sz="1100" baseline="0"/>
        </a:p>
        <a:p>
          <a:r>
            <a:rPr lang="en-US" sz="1100" baseline="0"/>
            <a:t>Objectives: </a:t>
          </a:r>
          <a:endParaRPr lang="en-US" sz="1100"/>
        </a:p>
      </xdr:txBody>
    </xdr:sp>
    <xdr:clientData/>
  </xdr:twoCellAnchor>
  <xdr:twoCellAnchor>
    <xdr:from>
      <xdr:col>0</xdr:col>
      <xdr:colOff>109854</xdr:colOff>
      <xdr:row>42</xdr:row>
      <xdr:rowOff>10160</xdr:rowOff>
    </xdr:from>
    <xdr:to>
      <xdr:col>7</xdr:col>
      <xdr:colOff>114300</xdr:colOff>
      <xdr:row>45</xdr:row>
      <xdr:rowOff>152400</xdr:rowOff>
    </xdr:to>
    <xdr:sp macro="" textlink="">
      <xdr:nvSpPr>
        <xdr:cNvPr id="6" name="TextBox 5">
          <a:extLst>
            <a:ext uri="{FF2B5EF4-FFF2-40B4-BE49-F238E27FC236}">
              <a16:creationId xmlns="" xmlns:a16="http://schemas.microsoft.com/office/drawing/2014/main" id="{00000000-0008-0000-0000-000006000000}"/>
            </a:ext>
          </a:extLst>
        </xdr:cNvPr>
        <xdr:cNvSpPr txBox="1"/>
      </xdr:nvSpPr>
      <xdr:spPr>
        <a:xfrm>
          <a:off x="109854" y="7439660"/>
          <a:ext cx="4608196" cy="694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300" b="1"/>
            <a:t>NOTICE: </a:t>
          </a:r>
          <a:r>
            <a:rPr lang="en-US" sz="1100" baseline="0"/>
            <a:t>If you find errors or problems, please contact Vena L. Jones at vena.l.jones@tn.gov</a:t>
          </a:r>
        </a:p>
      </xdr:txBody>
    </xdr:sp>
    <xdr:clientData/>
  </xdr:twoCellAnchor>
  <xdr:twoCellAnchor>
    <xdr:from>
      <xdr:col>1</xdr:col>
      <xdr:colOff>18490</xdr:colOff>
      <xdr:row>32</xdr:row>
      <xdr:rowOff>16808</xdr:rowOff>
    </xdr:from>
    <xdr:to>
      <xdr:col>6</xdr:col>
      <xdr:colOff>266140</xdr:colOff>
      <xdr:row>40</xdr:row>
      <xdr:rowOff>152400</xdr:rowOff>
    </xdr:to>
    <xdr:sp macro="" textlink="">
      <xdr:nvSpPr>
        <xdr:cNvPr id="7" name="TextBox 6">
          <a:extLst>
            <a:ext uri="{FF2B5EF4-FFF2-40B4-BE49-F238E27FC236}">
              <a16:creationId xmlns="" xmlns:a16="http://schemas.microsoft.com/office/drawing/2014/main" id="{22BE1E87-F535-49D8-A600-813440F7EB6D}"/>
            </a:ext>
          </a:extLst>
        </xdr:cNvPr>
        <xdr:cNvSpPr txBox="1"/>
      </xdr:nvSpPr>
      <xdr:spPr>
        <a:xfrm>
          <a:off x="628090" y="5843867"/>
          <a:ext cx="3672168" cy="15699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Describe this reach and </a:t>
          </a:r>
          <a:r>
            <a:rPr lang="en-US" sz="1100" baseline="0"/>
            <a:t>reach break criteria</a:t>
          </a:r>
          <a:r>
            <a:rPr lang="en-US" sz="1100"/>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16329</xdr:colOff>
      <xdr:row>16</xdr:row>
      <xdr:rowOff>58512</xdr:rowOff>
    </xdr:from>
    <xdr:to>
      <xdr:col>15</xdr:col>
      <xdr:colOff>771525</xdr:colOff>
      <xdr:row>40</xdr:row>
      <xdr:rowOff>57149</xdr:rowOff>
    </xdr:to>
    <xdr:graphicFrame macro="">
      <xdr:nvGraphicFramePr>
        <xdr:cNvPr id="2" name="Chart 1">
          <a:extLst>
            <a:ext uri="{FF2B5EF4-FFF2-40B4-BE49-F238E27FC236}">
              <a16:creationId xmlns=""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42182</xdr:colOff>
      <xdr:row>50</xdr:row>
      <xdr:rowOff>50346</xdr:rowOff>
    </xdr:from>
    <xdr:to>
      <xdr:col>16</xdr:col>
      <xdr:colOff>0</xdr:colOff>
      <xdr:row>74</xdr:row>
      <xdr:rowOff>9525</xdr:rowOff>
    </xdr:to>
    <xdr:graphicFrame macro="">
      <xdr:nvGraphicFramePr>
        <xdr:cNvPr id="3" name="Chart 2">
          <a:extLst>
            <a:ext uri="{FF2B5EF4-FFF2-40B4-BE49-F238E27FC236}">
              <a16:creationId xmlns=""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63954</xdr:colOff>
      <xdr:row>85</xdr:row>
      <xdr:rowOff>99331</xdr:rowOff>
    </xdr:from>
    <xdr:to>
      <xdr:col>15</xdr:col>
      <xdr:colOff>742950</xdr:colOff>
      <xdr:row>108</xdr:row>
      <xdr:rowOff>114300</xdr:rowOff>
    </xdr:to>
    <xdr:graphicFrame macro="">
      <xdr:nvGraphicFramePr>
        <xdr:cNvPr id="4" name="Chart 3">
          <a:extLst>
            <a:ext uri="{FF2B5EF4-FFF2-40B4-BE49-F238E27FC236}">
              <a16:creationId xmlns=""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39460</xdr:colOff>
      <xdr:row>16</xdr:row>
      <xdr:rowOff>44903</xdr:rowOff>
    </xdr:from>
    <xdr:to>
      <xdr:col>23</xdr:col>
      <xdr:colOff>771525</xdr:colOff>
      <xdr:row>40</xdr:row>
      <xdr:rowOff>57150</xdr:rowOff>
    </xdr:to>
    <xdr:graphicFrame macro="">
      <xdr:nvGraphicFramePr>
        <xdr:cNvPr id="5" name="Chart 4">
          <a:extLst>
            <a:ext uri="{FF2B5EF4-FFF2-40B4-BE49-F238E27FC236}">
              <a16:creationId xmlns=""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148316</xdr:colOff>
      <xdr:row>326</xdr:row>
      <xdr:rowOff>53069</xdr:rowOff>
    </xdr:from>
    <xdr:to>
      <xdr:col>24</xdr:col>
      <xdr:colOff>685799</xdr:colOff>
      <xdr:row>349</xdr:row>
      <xdr:rowOff>104775</xdr:rowOff>
    </xdr:to>
    <xdr:graphicFrame macro="">
      <xdr:nvGraphicFramePr>
        <xdr:cNvPr id="9" name="Chart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50746</xdr:colOff>
      <xdr:row>358</xdr:row>
      <xdr:rowOff>90287</xdr:rowOff>
    </xdr:from>
    <xdr:to>
      <xdr:col>24</xdr:col>
      <xdr:colOff>633132</xdr:colOff>
      <xdr:row>380</xdr:row>
      <xdr:rowOff>169209</xdr:rowOff>
    </xdr:to>
    <xdr:graphicFrame macro="">
      <xdr:nvGraphicFramePr>
        <xdr:cNvPr id="10" name="Chart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30480</xdr:colOff>
      <xdr:row>393</xdr:row>
      <xdr:rowOff>41909</xdr:rowOff>
    </xdr:from>
    <xdr:to>
      <xdr:col>24</xdr:col>
      <xdr:colOff>678180</xdr:colOff>
      <xdr:row>416</xdr:row>
      <xdr:rowOff>32384</xdr:rowOff>
    </xdr:to>
    <xdr:graphicFrame macro="">
      <xdr:nvGraphicFramePr>
        <xdr:cNvPr id="11" name="Chart 10">
          <a:extLst>
            <a:ext uri="{FF2B5EF4-FFF2-40B4-BE49-F238E27FC236}">
              <a16:creationId xmlns="" xmlns:a16="http://schemas.microsoft.com/office/drawing/2014/main" id="{00000000-0008-0000-04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17</xdr:col>
      <xdr:colOff>39782</xdr:colOff>
      <xdr:row>424</xdr:row>
      <xdr:rowOff>178842</xdr:rowOff>
    </xdr:from>
    <xdr:to>
      <xdr:col>23</xdr:col>
      <xdr:colOff>687481</xdr:colOff>
      <xdr:row>448</xdr:row>
      <xdr:rowOff>0</xdr:rowOff>
    </xdr:to>
    <xdr:graphicFrame macro="">
      <xdr:nvGraphicFramePr>
        <xdr:cNvPr id="12" name="Chart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65770</xdr:colOff>
      <xdr:row>458</xdr:row>
      <xdr:rowOff>78469</xdr:rowOff>
    </xdr:from>
    <xdr:to>
      <xdr:col>23</xdr:col>
      <xdr:colOff>733425</xdr:colOff>
      <xdr:row>481</xdr:row>
      <xdr:rowOff>38100</xdr:rowOff>
    </xdr:to>
    <xdr:graphicFrame macro="">
      <xdr:nvGraphicFramePr>
        <xdr:cNvPr id="13" name="Chart 12">
          <a:extLst>
            <a:ext uri="{FF2B5EF4-FFF2-40B4-BE49-F238E27FC236}">
              <a16:creationId xmlns="" xmlns:a16="http://schemas.microsoft.com/office/drawing/2014/main" id="{00000000-0008-0000-04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17</xdr:col>
      <xdr:colOff>19051</xdr:colOff>
      <xdr:row>491</xdr:row>
      <xdr:rowOff>57150</xdr:rowOff>
    </xdr:from>
    <xdr:to>
      <xdr:col>23</xdr:col>
      <xdr:colOff>704850</xdr:colOff>
      <xdr:row>515</xdr:row>
      <xdr:rowOff>180976</xdr:rowOff>
    </xdr:to>
    <xdr:graphicFrame macro="">
      <xdr:nvGraphicFramePr>
        <xdr:cNvPr id="14" name="Chart 13">
          <a:extLst>
            <a:ext uri="{FF2B5EF4-FFF2-40B4-BE49-F238E27FC236}">
              <a16:creationId xmlns="" xmlns:a16="http://schemas.microsoft.com/office/drawing/2014/main" id="{00000000-0008-0000-04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17</xdr:col>
      <xdr:colOff>76079</xdr:colOff>
      <xdr:row>662</xdr:row>
      <xdr:rowOff>66475</xdr:rowOff>
    </xdr:from>
    <xdr:to>
      <xdr:col>23</xdr:col>
      <xdr:colOff>704850</xdr:colOff>
      <xdr:row>684</xdr:row>
      <xdr:rowOff>95251</xdr:rowOff>
    </xdr:to>
    <xdr:graphicFrame macro="">
      <xdr:nvGraphicFramePr>
        <xdr:cNvPr id="16" name="Chart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40822</xdr:colOff>
      <xdr:row>527</xdr:row>
      <xdr:rowOff>82322</xdr:rowOff>
    </xdr:from>
    <xdr:to>
      <xdr:col>23</xdr:col>
      <xdr:colOff>704850</xdr:colOff>
      <xdr:row>550</xdr:row>
      <xdr:rowOff>104775</xdr:rowOff>
    </xdr:to>
    <xdr:graphicFrame macro="">
      <xdr:nvGraphicFramePr>
        <xdr:cNvPr id="17" name="Chart 16">
          <a:extLst>
            <a:ext uri="{FF2B5EF4-FFF2-40B4-BE49-F238E27FC236}">
              <a16:creationId xmlns="" xmlns:a16="http://schemas.microsoft.com/office/drawing/2014/main" id="{00000000-0008-0000-04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17</xdr:col>
      <xdr:colOff>61231</xdr:colOff>
      <xdr:row>655</xdr:row>
      <xdr:rowOff>0</xdr:rowOff>
    </xdr:from>
    <xdr:to>
      <xdr:col>25</xdr:col>
      <xdr:colOff>88446</xdr:colOff>
      <xdr:row>655</xdr:row>
      <xdr:rowOff>0</xdr:rowOff>
    </xdr:to>
    <xdr:graphicFrame macro="">
      <xdr:nvGraphicFramePr>
        <xdr:cNvPr id="18" name="Chart 17">
          <a:extLst>
            <a:ext uri="{FF2B5EF4-FFF2-40B4-BE49-F238E27FC236}">
              <a16:creationId xmlns="" xmlns:a16="http://schemas.microsoft.com/office/drawing/2014/main" id="{00000000-0008-0000-04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17</xdr:col>
      <xdr:colOff>108177</xdr:colOff>
      <xdr:row>561</xdr:row>
      <xdr:rowOff>70077</xdr:rowOff>
    </xdr:from>
    <xdr:to>
      <xdr:col>24</xdr:col>
      <xdr:colOff>733425</xdr:colOff>
      <xdr:row>584</xdr:row>
      <xdr:rowOff>161925</xdr:rowOff>
    </xdr:to>
    <xdr:graphicFrame macro="">
      <xdr:nvGraphicFramePr>
        <xdr:cNvPr id="19" name="Chart 18">
          <a:extLst>
            <a:ext uri="{FF2B5EF4-FFF2-40B4-BE49-F238E27FC236}">
              <a16:creationId xmlns="" xmlns:a16="http://schemas.microsoft.com/office/drawing/2014/main" id="{00000000-0008-0000-04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17</xdr:col>
      <xdr:colOff>61232</xdr:colOff>
      <xdr:row>688</xdr:row>
      <xdr:rowOff>0</xdr:rowOff>
    </xdr:from>
    <xdr:to>
      <xdr:col>25</xdr:col>
      <xdr:colOff>88446</xdr:colOff>
      <xdr:row>688</xdr:row>
      <xdr:rowOff>0</xdr:rowOff>
    </xdr:to>
    <xdr:graphicFrame macro="">
      <xdr:nvGraphicFramePr>
        <xdr:cNvPr id="20" name="Chart 19">
          <a:extLst>
            <a:ext uri="{FF2B5EF4-FFF2-40B4-BE49-F238E27FC236}">
              <a16:creationId xmlns="" xmlns:a16="http://schemas.microsoft.com/office/drawing/2014/main" id="{00000000-0008-0000-04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17</xdr:col>
      <xdr:colOff>138113</xdr:colOff>
      <xdr:row>695</xdr:row>
      <xdr:rowOff>77561</xdr:rowOff>
    </xdr:from>
    <xdr:to>
      <xdr:col>23</xdr:col>
      <xdr:colOff>695325</xdr:colOff>
      <xdr:row>714</xdr:row>
      <xdr:rowOff>57151</xdr:rowOff>
    </xdr:to>
    <xdr:graphicFrame macro="">
      <xdr:nvGraphicFramePr>
        <xdr:cNvPr id="21" name="Chart 20">
          <a:extLst>
            <a:ext uri="{FF2B5EF4-FFF2-40B4-BE49-F238E27FC236}">
              <a16:creationId xmlns="" xmlns:a16="http://schemas.microsoft.com/office/drawing/2014/main" id="{00000000-0008-0000-04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17</xdr:col>
      <xdr:colOff>85725</xdr:colOff>
      <xdr:row>255</xdr:row>
      <xdr:rowOff>57150</xdr:rowOff>
    </xdr:from>
    <xdr:to>
      <xdr:col>23</xdr:col>
      <xdr:colOff>723900</xdr:colOff>
      <xdr:row>281</xdr:row>
      <xdr:rowOff>66675</xdr:rowOff>
    </xdr:to>
    <xdr:graphicFrame macro="">
      <xdr:nvGraphicFramePr>
        <xdr:cNvPr id="24" name="Chart 23">
          <a:extLst>
            <a:ext uri="{FF2B5EF4-FFF2-40B4-BE49-F238E27FC236}">
              <a16:creationId xmlns="" xmlns:a16="http://schemas.microsoft.com/office/drawing/2014/main" id="{00000000-0008-0000-04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36</xdr:col>
      <xdr:colOff>66675</xdr:colOff>
      <xdr:row>18</xdr:row>
      <xdr:rowOff>142875</xdr:rowOff>
    </xdr:from>
    <xdr:to>
      <xdr:col>44</xdr:col>
      <xdr:colOff>8965</xdr:colOff>
      <xdr:row>40</xdr:row>
      <xdr:rowOff>171450</xdr:rowOff>
    </xdr:to>
    <xdr:graphicFrame macro="">
      <xdr:nvGraphicFramePr>
        <xdr:cNvPr id="28" name="Chart 27">
          <a:extLst>
            <a:ext uri="{FF2B5EF4-FFF2-40B4-BE49-F238E27FC236}">
              <a16:creationId xmlns="" xmlns:a16="http://schemas.microsoft.com/office/drawing/2014/main" id="{00000000-0008-0000-04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36</xdr:col>
      <xdr:colOff>138111</xdr:colOff>
      <xdr:row>56</xdr:row>
      <xdr:rowOff>123825</xdr:rowOff>
    </xdr:from>
    <xdr:to>
      <xdr:col>44</xdr:col>
      <xdr:colOff>762000</xdr:colOff>
      <xdr:row>79</xdr:row>
      <xdr:rowOff>38100</xdr:rowOff>
    </xdr:to>
    <xdr:graphicFrame macro="">
      <xdr:nvGraphicFramePr>
        <xdr:cNvPr id="29" name="Chart 28">
          <a:extLst>
            <a:ext uri="{FF2B5EF4-FFF2-40B4-BE49-F238E27FC236}">
              <a16:creationId xmlns="" xmlns:a16="http://schemas.microsoft.com/office/drawing/2014/main" id="{00000000-0008-0000-04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36</xdr:col>
      <xdr:colOff>38101</xdr:colOff>
      <xdr:row>210</xdr:row>
      <xdr:rowOff>98612</xdr:rowOff>
    </xdr:from>
    <xdr:to>
      <xdr:col>44</xdr:col>
      <xdr:colOff>735106</xdr:colOff>
      <xdr:row>234</xdr:row>
      <xdr:rowOff>85725</xdr:rowOff>
    </xdr:to>
    <xdr:graphicFrame macro="">
      <xdr:nvGraphicFramePr>
        <xdr:cNvPr id="33" name="Chart 32">
          <a:extLst>
            <a:ext uri="{FF2B5EF4-FFF2-40B4-BE49-F238E27FC236}">
              <a16:creationId xmlns="" xmlns:a16="http://schemas.microsoft.com/office/drawing/2014/main" id="{00000000-0008-0000-04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36</xdr:col>
      <xdr:colOff>130630</xdr:colOff>
      <xdr:row>248</xdr:row>
      <xdr:rowOff>104776</xdr:rowOff>
    </xdr:from>
    <xdr:to>
      <xdr:col>45</xdr:col>
      <xdr:colOff>0</xdr:colOff>
      <xdr:row>272</xdr:row>
      <xdr:rowOff>85725</xdr:rowOff>
    </xdr:to>
    <xdr:graphicFrame macro="">
      <xdr:nvGraphicFramePr>
        <xdr:cNvPr id="34" name="Chart 33">
          <a:extLst>
            <a:ext uri="{FF2B5EF4-FFF2-40B4-BE49-F238E27FC236}">
              <a16:creationId xmlns="" xmlns:a16="http://schemas.microsoft.com/office/drawing/2014/main" id="{00000000-0008-0000-04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17</xdr:col>
      <xdr:colOff>111578</xdr:colOff>
      <xdr:row>85</xdr:row>
      <xdr:rowOff>98651</xdr:rowOff>
    </xdr:from>
    <xdr:to>
      <xdr:col>23</xdr:col>
      <xdr:colOff>733425</xdr:colOff>
      <xdr:row>108</xdr:row>
      <xdr:rowOff>104775</xdr:rowOff>
    </xdr:to>
    <xdr:graphicFrame macro="">
      <xdr:nvGraphicFramePr>
        <xdr:cNvPr id="37" name="Chart 36">
          <a:extLst>
            <a:ext uri="{FF2B5EF4-FFF2-40B4-BE49-F238E27FC236}">
              <a16:creationId xmlns="" xmlns:a16="http://schemas.microsoft.com/office/drawing/2014/main" id="{00000000-0008-0000-04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17</xdr:col>
      <xdr:colOff>53069</xdr:colOff>
      <xdr:row>153</xdr:row>
      <xdr:rowOff>73480</xdr:rowOff>
    </xdr:from>
    <xdr:to>
      <xdr:col>24</xdr:col>
      <xdr:colOff>19050</xdr:colOff>
      <xdr:row>176</xdr:row>
      <xdr:rowOff>152400</xdr:rowOff>
    </xdr:to>
    <xdr:graphicFrame macro="">
      <xdr:nvGraphicFramePr>
        <xdr:cNvPr id="39" name="Chart 38">
          <a:extLst>
            <a:ext uri="{FF2B5EF4-FFF2-40B4-BE49-F238E27FC236}">
              <a16:creationId xmlns="" xmlns:a16="http://schemas.microsoft.com/office/drawing/2014/main" id="{00000000-0008-0000-04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17</xdr:col>
      <xdr:colOff>62593</xdr:colOff>
      <xdr:row>222</xdr:row>
      <xdr:rowOff>63954</xdr:rowOff>
    </xdr:from>
    <xdr:to>
      <xdr:col>23</xdr:col>
      <xdr:colOff>752474</xdr:colOff>
      <xdr:row>245</xdr:row>
      <xdr:rowOff>76200</xdr:rowOff>
    </xdr:to>
    <xdr:graphicFrame macro="">
      <xdr:nvGraphicFramePr>
        <xdr:cNvPr id="41" name="Chart 40">
          <a:extLst>
            <a:ext uri="{FF2B5EF4-FFF2-40B4-BE49-F238E27FC236}">
              <a16:creationId xmlns="" xmlns:a16="http://schemas.microsoft.com/office/drawing/2014/main" id="{00000000-0008-0000-04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17</xdr:col>
      <xdr:colOff>142874</xdr:colOff>
      <xdr:row>387</xdr:row>
      <xdr:rowOff>0</xdr:rowOff>
    </xdr:from>
    <xdr:to>
      <xdr:col>25</xdr:col>
      <xdr:colOff>170088</xdr:colOff>
      <xdr:row>387</xdr:row>
      <xdr:rowOff>0</xdr:rowOff>
    </xdr:to>
    <xdr:graphicFrame macro="">
      <xdr:nvGraphicFramePr>
        <xdr:cNvPr id="42" name="Chart 41">
          <a:extLst>
            <a:ext uri="{FF2B5EF4-FFF2-40B4-BE49-F238E27FC236}">
              <a16:creationId xmlns="" xmlns:a16="http://schemas.microsoft.com/office/drawing/2014/main" id="{00000000-0008-0000-0400-00002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17</xdr:col>
      <xdr:colOff>70757</xdr:colOff>
      <xdr:row>596</xdr:row>
      <xdr:rowOff>80962</xdr:rowOff>
    </xdr:from>
    <xdr:to>
      <xdr:col>23</xdr:col>
      <xdr:colOff>733425</xdr:colOff>
      <xdr:row>618</xdr:row>
      <xdr:rowOff>180975</xdr:rowOff>
    </xdr:to>
    <xdr:graphicFrame macro="">
      <xdr:nvGraphicFramePr>
        <xdr:cNvPr id="44" name="Chart 43">
          <a:extLst>
            <a:ext uri="{FF2B5EF4-FFF2-40B4-BE49-F238E27FC236}">
              <a16:creationId xmlns="" xmlns:a16="http://schemas.microsoft.com/office/drawing/2014/main" id="{00000000-0008-0000-0400-00002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xdr:col>
      <xdr:colOff>29028</xdr:colOff>
      <xdr:row>144</xdr:row>
      <xdr:rowOff>0</xdr:rowOff>
    </xdr:from>
    <xdr:to>
      <xdr:col>8</xdr:col>
      <xdr:colOff>66675</xdr:colOff>
      <xdr:row>144</xdr:row>
      <xdr:rowOff>0</xdr:rowOff>
    </xdr:to>
    <xdr:graphicFrame macro="">
      <xdr:nvGraphicFramePr>
        <xdr:cNvPr id="49" name="Chart 48">
          <a:extLst>
            <a:ext uri="{FF2B5EF4-FFF2-40B4-BE49-F238E27FC236}">
              <a16:creationId xmlns="" xmlns:a16="http://schemas.microsoft.com/office/drawing/2014/main" id="{00000000-0008-0000-0400-00003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26</xdr:col>
      <xdr:colOff>24493</xdr:colOff>
      <xdr:row>349</xdr:row>
      <xdr:rowOff>64635</xdr:rowOff>
    </xdr:from>
    <xdr:to>
      <xdr:col>33</xdr:col>
      <xdr:colOff>783770</xdr:colOff>
      <xdr:row>373</xdr:row>
      <xdr:rowOff>95250</xdr:rowOff>
    </xdr:to>
    <xdr:graphicFrame macro="">
      <xdr:nvGraphicFramePr>
        <xdr:cNvPr id="50" name="Chart 49">
          <a:extLst>
            <a:ext uri="{FF2B5EF4-FFF2-40B4-BE49-F238E27FC236}">
              <a16:creationId xmlns="" xmlns:a16="http://schemas.microsoft.com/office/drawing/2014/main" id="{00000000-0008-0000-0400-00003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26</xdr:col>
      <xdr:colOff>24494</xdr:colOff>
      <xdr:row>92</xdr:row>
      <xdr:rowOff>64635</xdr:rowOff>
    </xdr:from>
    <xdr:to>
      <xdr:col>32</xdr:col>
      <xdr:colOff>723900</xdr:colOff>
      <xdr:row>114</xdr:row>
      <xdr:rowOff>171450</xdr:rowOff>
    </xdr:to>
    <xdr:graphicFrame macro="">
      <xdr:nvGraphicFramePr>
        <xdr:cNvPr id="51" name="Chart 50">
          <a:extLst>
            <a:ext uri="{FF2B5EF4-FFF2-40B4-BE49-F238E27FC236}">
              <a16:creationId xmlns="" xmlns:a16="http://schemas.microsoft.com/office/drawing/2014/main" id="{00000000-0008-0000-0400-00003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26</xdr:col>
      <xdr:colOff>63490</xdr:colOff>
      <xdr:row>55</xdr:row>
      <xdr:rowOff>76504</xdr:rowOff>
    </xdr:from>
    <xdr:to>
      <xdr:col>33</xdr:col>
      <xdr:colOff>679973</xdr:colOff>
      <xdr:row>77</xdr:row>
      <xdr:rowOff>79225</xdr:rowOff>
    </xdr:to>
    <xdr:graphicFrame macro="">
      <xdr:nvGraphicFramePr>
        <xdr:cNvPr id="54" name="Chart 53">
          <a:extLst>
            <a:ext uri="{FF2B5EF4-FFF2-40B4-BE49-F238E27FC236}">
              <a16:creationId xmlns="" xmlns:a16="http://schemas.microsoft.com/office/drawing/2014/main" id="{00000000-0008-0000-0400-00003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26</xdr:col>
      <xdr:colOff>91440</xdr:colOff>
      <xdr:row>17</xdr:row>
      <xdr:rowOff>0</xdr:rowOff>
    </xdr:from>
    <xdr:to>
      <xdr:col>32</xdr:col>
      <xdr:colOff>762000</xdr:colOff>
      <xdr:row>41</xdr:row>
      <xdr:rowOff>133349</xdr:rowOff>
    </xdr:to>
    <xdr:graphicFrame macro="">
      <xdr:nvGraphicFramePr>
        <xdr:cNvPr id="59" name="Chart 58">
          <a:extLst>
            <a:ext uri="{FF2B5EF4-FFF2-40B4-BE49-F238E27FC236}">
              <a16:creationId xmlns="" xmlns:a16="http://schemas.microsoft.com/office/drawing/2014/main" id="{00000000-0008-0000-0400-00003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17</xdr:col>
      <xdr:colOff>29936</xdr:colOff>
      <xdr:row>119</xdr:row>
      <xdr:rowOff>44223</xdr:rowOff>
    </xdr:from>
    <xdr:to>
      <xdr:col>23</xdr:col>
      <xdr:colOff>771525</xdr:colOff>
      <xdr:row>142</xdr:row>
      <xdr:rowOff>85725</xdr:rowOff>
    </xdr:to>
    <xdr:graphicFrame macro="">
      <xdr:nvGraphicFramePr>
        <xdr:cNvPr id="60" name="Chart 59">
          <a:extLst>
            <a:ext uri="{FF2B5EF4-FFF2-40B4-BE49-F238E27FC236}">
              <a16:creationId xmlns="" xmlns:a16="http://schemas.microsoft.com/office/drawing/2014/main" id="{00000000-0008-0000-0400-00003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17</xdr:col>
      <xdr:colOff>123144</xdr:colOff>
      <xdr:row>723</xdr:row>
      <xdr:rowOff>78240</xdr:rowOff>
    </xdr:from>
    <xdr:to>
      <xdr:col>23</xdr:col>
      <xdr:colOff>752475</xdr:colOff>
      <xdr:row>745</xdr:row>
      <xdr:rowOff>104775</xdr:rowOff>
    </xdr:to>
    <xdr:graphicFrame macro="">
      <xdr:nvGraphicFramePr>
        <xdr:cNvPr id="53" name="Chart 52">
          <a:extLst>
            <a:ext uri="{FF2B5EF4-FFF2-40B4-BE49-F238E27FC236}">
              <a16:creationId xmlns="" xmlns:a16="http://schemas.microsoft.com/office/drawing/2014/main" id="{00000000-0008-0000-0400-00003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17</xdr:col>
      <xdr:colOff>14969</xdr:colOff>
      <xdr:row>187</xdr:row>
      <xdr:rowOff>35380</xdr:rowOff>
    </xdr:from>
    <xdr:to>
      <xdr:col>24</xdr:col>
      <xdr:colOff>0</xdr:colOff>
      <xdr:row>210</xdr:row>
      <xdr:rowOff>66676</xdr:rowOff>
    </xdr:to>
    <xdr:graphicFrame macro="">
      <xdr:nvGraphicFramePr>
        <xdr:cNvPr id="58" name="Chart 57">
          <a:extLst>
            <a:ext uri="{FF2B5EF4-FFF2-40B4-BE49-F238E27FC236}">
              <a16:creationId xmlns="" xmlns:a16="http://schemas.microsoft.com/office/drawing/2014/main" id="{00000000-0008-0000-0400-00003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17</xdr:col>
      <xdr:colOff>77834</xdr:colOff>
      <xdr:row>290</xdr:row>
      <xdr:rowOff>116476</xdr:rowOff>
    </xdr:from>
    <xdr:to>
      <xdr:col>24</xdr:col>
      <xdr:colOff>106680</xdr:colOff>
      <xdr:row>314</xdr:row>
      <xdr:rowOff>171994</xdr:rowOff>
    </xdr:to>
    <xdr:graphicFrame macro="">
      <xdr:nvGraphicFramePr>
        <xdr:cNvPr id="62" name="Chart 61">
          <a:extLst>
            <a:ext uri="{FF2B5EF4-FFF2-40B4-BE49-F238E27FC236}">
              <a16:creationId xmlns="" xmlns:a16="http://schemas.microsoft.com/office/drawing/2014/main" id="{00000000-0008-0000-0400-00003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36</xdr:col>
      <xdr:colOff>104775</xdr:colOff>
      <xdr:row>96</xdr:row>
      <xdr:rowOff>57149</xdr:rowOff>
    </xdr:from>
    <xdr:to>
      <xdr:col>44</xdr:col>
      <xdr:colOff>770964</xdr:colOff>
      <xdr:row>119</xdr:row>
      <xdr:rowOff>233082</xdr:rowOff>
    </xdr:to>
    <xdr:graphicFrame macro="">
      <xdr:nvGraphicFramePr>
        <xdr:cNvPr id="61" name="Chart 60">
          <a:extLst>
            <a:ext uri="{FF2B5EF4-FFF2-40B4-BE49-F238E27FC236}">
              <a16:creationId xmlns="" xmlns:a16="http://schemas.microsoft.com/office/drawing/2014/main" id="{00000000-0008-0000-0400-00003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36</xdr:col>
      <xdr:colOff>90488</xdr:colOff>
      <xdr:row>133</xdr:row>
      <xdr:rowOff>42864</xdr:rowOff>
    </xdr:from>
    <xdr:to>
      <xdr:col>44</xdr:col>
      <xdr:colOff>726142</xdr:colOff>
      <xdr:row>157</xdr:row>
      <xdr:rowOff>28576</xdr:rowOff>
    </xdr:to>
    <xdr:graphicFrame macro="">
      <xdr:nvGraphicFramePr>
        <xdr:cNvPr id="63" name="Chart 62">
          <a:extLst>
            <a:ext uri="{FF2B5EF4-FFF2-40B4-BE49-F238E27FC236}">
              <a16:creationId xmlns="" xmlns:a16="http://schemas.microsoft.com/office/drawing/2014/main" id="{00000000-0008-0000-0400-00003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36</xdr:col>
      <xdr:colOff>85725</xdr:colOff>
      <xdr:row>173</xdr:row>
      <xdr:rowOff>51707</xdr:rowOff>
    </xdr:from>
    <xdr:to>
      <xdr:col>44</xdr:col>
      <xdr:colOff>753036</xdr:colOff>
      <xdr:row>195</xdr:row>
      <xdr:rowOff>171450</xdr:rowOff>
    </xdr:to>
    <xdr:graphicFrame macro="">
      <xdr:nvGraphicFramePr>
        <xdr:cNvPr id="64" name="Chart 63">
          <a:extLst>
            <a:ext uri="{FF2B5EF4-FFF2-40B4-BE49-F238E27FC236}">
              <a16:creationId xmlns="" xmlns:a16="http://schemas.microsoft.com/office/drawing/2014/main" id="{00000000-0008-0000-0400-00004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1</xdr:col>
      <xdr:colOff>29028</xdr:colOff>
      <xdr:row>16</xdr:row>
      <xdr:rowOff>87088</xdr:rowOff>
    </xdr:from>
    <xdr:to>
      <xdr:col>8</xdr:col>
      <xdr:colOff>66675</xdr:colOff>
      <xdr:row>39</xdr:row>
      <xdr:rowOff>180976</xdr:rowOff>
    </xdr:to>
    <xdr:graphicFrame macro="">
      <xdr:nvGraphicFramePr>
        <xdr:cNvPr id="71" name="Chart 70">
          <a:extLst>
            <a:ext uri="{FF2B5EF4-FFF2-40B4-BE49-F238E27FC236}">
              <a16:creationId xmlns="" xmlns:a16="http://schemas.microsoft.com/office/drawing/2014/main" id="{00000000-0008-0000-0400-00004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1</xdr:col>
      <xdr:colOff>29028</xdr:colOff>
      <xdr:row>51</xdr:row>
      <xdr:rowOff>87088</xdr:rowOff>
    </xdr:from>
    <xdr:to>
      <xdr:col>8</xdr:col>
      <xdr:colOff>66675</xdr:colOff>
      <xdr:row>74</xdr:row>
      <xdr:rowOff>180976</xdr:rowOff>
    </xdr:to>
    <xdr:graphicFrame macro="">
      <xdr:nvGraphicFramePr>
        <xdr:cNvPr id="72" name="Chart 71">
          <a:extLst>
            <a:ext uri="{FF2B5EF4-FFF2-40B4-BE49-F238E27FC236}">
              <a16:creationId xmlns="" xmlns:a16="http://schemas.microsoft.com/office/drawing/2014/main" id="{00000000-0008-0000-0400-00004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1</xdr:col>
      <xdr:colOff>29028</xdr:colOff>
      <xdr:row>119</xdr:row>
      <xdr:rowOff>106680</xdr:rowOff>
    </xdr:from>
    <xdr:to>
      <xdr:col>8</xdr:col>
      <xdr:colOff>66675</xdr:colOff>
      <xdr:row>142</xdr:row>
      <xdr:rowOff>180976</xdr:rowOff>
    </xdr:to>
    <xdr:graphicFrame macro="">
      <xdr:nvGraphicFramePr>
        <xdr:cNvPr id="73" name="Chart 72">
          <a:extLst>
            <a:ext uri="{FF2B5EF4-FFF2-40B4-BE49-F238E27FC236}">
              <a16:creationId xmlns="" xmlns:a16="http://schemas.microsoft.com/office/drawing/2014/main" id="{00000000-0008-0000-0400-00004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17</xdr:col>
      <xdr:colOff>116541</xdr:colOff>
      <xdr:row>629</xdr:row>
      <xdr:rowOff>62753</xdr:rowOff>
    </xdr:from>
    <xdr:to>
      <xdr:col>23</xdr:col>
      <xdr:colOff>779209</xdr:colOff>
      <xdr:row>651</xdr:row>
      <xdr:rowOff>162765</xdr:rowOff>
    </xdr:to>
    <xdr:graphicFrame macro="">
      <xdr:nvGraphicFramePr>
        <xdr:cNvPr id="74" name="Chart 73">
          <a:extLst>
            <a:ext uri="{FF2B5EF4-FFF2-40B4-BE49-F238E27FC236}">
              <a16:creationId xmlns="" xmlns:a16="http://schemas.microsoft.com/office/drawing/2014/main" id="{9A3FA7F0-DD9D-4409-BBD9-A1B12139A5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26</xdr:col>
      <xdr:colOff>42423</xdr:colOff>
      <xdr:row>389</xdr:row>
      <xdr:rowOff>39371</xdr:rowOff>
    </xdr:from>
    <xdr:to>
      <xdr:col>33</xdr:col>
      <xdr:colOff>795994</xdr:colOff>
      <xdr:row>413</xdr:row>
      <xdr:rowOff>69986</xdr:rowOff>
    </xdr:to>
    <xdr:graphicFrame macro="">
      <xdr:nvGraphicFramePr>
        <xdr:cNvPr id="48" name="Chart 47">
          <a:extLst>
            <a:ext uri="{FF2B5EF4-FFF2-40B4-BE49-F238E27FC236}">
              <a16:creationId xmlns="" xmlns:a16="http://schemas.microsoft.com/office/drawing/2014/main" id="{CBD89182-39BA-425B-818B-82CC9EF1C1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26</xdr:col>
      <xdr:colOff>24493</xdr:colOff>
      <xdr:row>427</xdr:row>
      <xdr:rowOff>64635</xdr:rowOff>
    </xdr:from>
    <xdr:to>
      <xdr:col>33</xdr:col>
      <xdr:colOff>783770</xdr:colOff>
      <xdr:row>451</xdr:row>
      <xdr:rowOff>95250</xdr:rowOff>
    </xdr:to>
    <xdr:graphicFrame macro="">
      <xdr:nvGraphicFramePr>
        <xdr:cNvPr id="52" name="Chart 51">
          <a:extLst>
            <a:ext uri="{FF2B5EF4-FFF2-40B4-BE49-F238E27FC236}">
              <a16:creationId xmlns="" xmlns:a16="http://schemas.microsoft.com/office/drawing/2014/main" id="{441227CF-61D2-4D12-8D36-B69ECA8C9C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26</xdr:col>
      <xdr:colOff>24493</xdr:colOff>
      <xdr:row>465</xdr:row>
      <xdr:rowOff>64635</xdr:rowOff>
    </xdr:from>
    <xdr:to>
      <xdr:col>33</xdr:col>
      <xdr:colOff>783770</xdr:colOff>
      <xdr:row>489</xdr:row>
      <xdr:rowOff>95250</xdr:rowOff>
    </xdr:to>
    <xdr:graphicFrame macro="">
      <xdr:nvGraphicFramePr>
        <xdr:cNvPr id="55" name="Chart 54">
          <a:extLst>
            <a:ext uri="{FF2B5EF4-FFF2-40B4-BE49-F238E27FC236}">
              <a16:creationId xmlns="" xmlns:a16="http://schemas.microsoft.com/office/drawing/2014/main" id="{49D93A15-E28B-4543-90D3-DB2B8BBB32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26</xdr:col>
      <xdr:colOff>24493</xdr:colOff>
      <xdr:row>501</xdr:row>
      <xdr:rowOff>64635</xdr:rowOff>
    </xdr:from>
    <xdr:to>
      <xdr:col>33</xdr:col>
      <xdr:colOff>783770</xdr:colOff>
      <xdr:row>525</xdr:row>
      <xdr:rowOff>95250</xdr:rowOff>
    </xdr:to>
    <xdr:graphicFrame macro="">
      <xdr:nvGraphicFramePr>
        <xdr:cNvPr id="56" name="Chart 55">
          <a:extLst>
            <a:ext uri="{FF2B5EF4-FFF2-40B4-BE49-F238E27FC236}">
              <a16:creationId xmlns="" xmlns:a16="http://schemas.microsoft.com/office/drawing/2014/main" id="{9C61DEF7-E9BC-4EF7-B552-F6FDCF72AE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26</xdr:col>
      <xdr:colOff>24493</xdr:colOff>
      <xdr:row>539</xdr:row>
      <xdr:rowOff>55671</xdr:rowOff>
    </xdr:from>
    <xdr:to>
      <xdr:col>33</xdr:col>
      <xdr:colOff>783770</xdr:colOff>
      <xdr:row>563</xdr:row>
      <xdr:rowOff>86286</xdr:rowOff>
    </xdr:to>
    <xdr:graphicFrame macro="">
      <xdr:nvGraphicFramePr>
        <xdr:cNvPr id="65" name="Chart 64">
          <a:extLst>
            <a:ext uri="{FF2B5EF4-FFF2-40B4-BE49-F238E27FC236}">
              <a16:creationId xmlns="" xmlns:a16="http://schemas.microsoft.com/office/drawing/2014/main" id="{06B47E20-ACCF-4A8F-BF92-E7D4437457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26</xdr:col>
      <xdr:colOff>24493</xdr:colOff>
      <xdr:row>577</xdr:row>
      <xdr:rowOff>55671</xdr:rowOff>
    </xdr:from>
    <xdr:to>
      <xdr:col>33</xdr:col>
      <xdr:colOff>783770</xdr:colOff>
      <xdr:row>601</xdr:row>
      <xdr:rowOff>86286</xdr:rowOff>
    </xdr:to>
    <xdr:graphicFrame macro="">
      <xdr:nvGraphicFramePr>
        <xdr:cNvPr id="66" name="Chart 65">
          <a:extLst>
            <a:ext uri="{FF2B5EF4-FFF2-40B4-BE49-F238E27FC236}">
              <a16:creationId xmlns="" xmlns:a16="http://schemas.microsoft.com/office/drawing/2014/main" id="{F1948F7E-C1B1-4344-B039-7347444716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26</xdr:col>
      <xdr:colOff>69317</xdr:colOff>
      <xdr:row>128</xdr:row>
      <xdr:rowOff>91530</xdr:rowOff>
    </xdr:from>
    <xdr:to>
      <xdr:col>32</xdr:col>
      <xdr:colOff>768723</xdr:colOff>
      <xdr:row>151</xdr:row>
      <xdr:rowOff>19050</xdr:rowOff>
    </xdr:to>
    <xdr:graphicFrame macro="">
      <xdr:nvGraphicFramePr>
        <xdr:cNvPr id="67" name="Chart 66">
          <a:extLst>
            <a:ext uri="{FF2B5EF4-FFF2-40B4-BE49-F238E27FC236}">
              <a16:creationId xmlns="" xmlns:a16="http://schemas.microsoft.com/office/drawing/2014/main" id="{D935F3E9-E7B9-4BAA-8119-B8350746C1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26</xdr:col>
      <xdr:colOff>69317</xdr:colOff>
      <xdr:row>164</xdr:row>
      <xdr:rowOff>91530</xdr:rowOff>
    </xdr:from>
    <xdr:to>
      <xdr:col>32</xdr:col>
      <xdr:colOff>768723</xdr:colOff>
      <xdr:row>187</xdr:row>
      <xdr:rowOff>19050</xdr:rowOff>
    </xdr:to>
    <xdr:graphicFrame macro="">
      <xdr:nvGraphicFramePr>
        <xdr:cNvPr id="68" name="Chart 67">
          <a:extLst>
            <a:ext uri="{FF2B5EF4-FFF2-40B4-BE49-F238E27FC236}">
              <a16:creationId xmlns="" xmlns:a16="http://schemas.microsoft.com/office/drawing/2014/main" id="{618FDC26-396F-496B-A719-A7340C4B7F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26</xdr:col>
      <xdr:colOff>69317</xdr:colOff>
      <xdr:row>198</xdr:row>
      <xdr:rowOff>91530</xdr:rowOff>
    </xdr:from>
    <xdr:to>
      <xdr:col>32</xdr:col>
      <xdr:colOff>768723</xdr:colOff>
      <xdr:row>221</xdr:row>
      <xdr:rowOff>19050</xdr:rowOff>
    </xdr:to>
    <xdr:graphicFrame macro="">
      <xdr:nvGraphicFramePr>
        <xdr:cNvPr id="69" name="Chart 68">
          <a:extLst>
            <a:ext uri="{FF2B5EF4-FFF2-40B4-BE49-F238E27FC236}">
              <a16:creationId xmlns="" xmlns:a16="http://schemas.microsoft.com/office/drawing/2014/main" id="{ABBA359D-4739-45BD-8D6A-4F6D8F92EA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26</xdr:col>
      <xdr:colOff>69317</xdr:colOff>
      <xdr:row>270</xdr:row>
      <xdr:rowOff>91530</xdr:rowOff>
    </xdr:from>
    <xdr:to>
      <xdr:col>32</xdr:col>
      <xdr:colOff>768723</xdr:colOff>
      <xdr:row>293</xdr:row>
      <xdr:rowOff>19050</xdr:rowOff>
    </xdr:to>
    <xdr:graphicFrame macro="">
      <xdr:nvGraphicFramePr>
        <xdr:cNvPr id="70" name="Chart 69">
          <a:extLst>
            <a:ext uri="{FF2B5EF4-FFF2-40B4-BE49-F238E27FC236}">
              <a16:creationId xmlns="" xmlns:a16="http://schemas.microsoft.com/office/drawing/2014/main" id="{A3E7E39A-64F7-4EAA-B398-B4209D84D2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twoCellAnchor>
    <xdr:from>
      <xdr:col>26</xdr:col>
      <xdr:colOff>69317</xdr:colOff>
      <xdr:row>234</xdr:row>
      <xdr:rowOff>91530</xdr:rowOff>
    </xdr:from>
    <xdr:to>
      <xdr:col>32</xdr:col>
      <xdr:colOff>768723</xdr:colOff>
      <xdr:row>257</xdr:row>
      <xdr:rowOff>19050</xdr:rowOff>
    </xdr:to>
    <xdr:graphicFrame macro="">
      <xdr:nvGraphicFramePr>
        <xdr:cNvPr id="75" name="Chart 74">
          <a:extLst>
            <a:ext uri="{FF2B5EF4-FFF2-40B4-BE49-F238E27FC236}">
              <a16:creationId xmlns="" xmlns:a16="http://schemas.microsoft.com/office/drawing/2014/main" id="{04AEDE2D-D80A-48FA-9414-EBAE515886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3"/>
        </a:graphicData>
      </a:graphic>
    </xdr:graphicFrame>
    <xdr:clientData/>
  </xdr:twoCellAnchor>
  <xdr:twoCellAnchor>
    <xdr:from>
      <xdr:col>26</xdr:col>
      <xdr:colOff>87247</xdr:colOff>
      <xdr:row>312</xdr:row>
      <xdr:rowOff>1883</xdr:rowOff>
    </xdr:from>
    <xdr:to>
      <xdr:col>32</xdr:col>
      <xdr:colOff>786653</xdr:colOff>
      <xdr:row>334</xdr:row>
      <xdr:rowOff>108697</xdr:rowOff>
    </xdr:to>
    <xdr:graphicFrame macro="">
      <xdr:nvGraphicFramePr>
        <xdr:cNvPr id="76" name="Chart 75">
          <a:extLst>
            <a:ext uri="{FF2B5EF4-FFF2-40B4-BE49-F238E27FC236}">
              <a16:creationId xmlns="" xmlns:a16="http://schemas.microsoft.com/office/drawing/2014/main" id="{BE0019B1-BBE5-4969-A94D-5779441A14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4"/>
        </a:graphicData>
      </a:graphic>
    </xdr:graphicFrame>
    <xdr:clientData/>
  </xdr:twoCellAnchor>
  <xdr:twoCellAnchor>
    <xdr:from>
      <xdr:col>17</xdr:col>
      <xdr:colOff>123144</xdr:colOff>
      <xdr:row>754</xdr:row>
      <xdr:rowOff>78240</xdr:rowOff>
    </xdr:from>
    <xdr:to>
      <xdr:col>23</xdr:col>
      <xdr:colOff>752475</xdr:colOff>
      <xdr:row>776</xdr:row>
      <xdr:rowOff>104775</xdr:rowOff>
    </xdr:to>
    <xdr:graphicFrame macro="">
      <xdr:nvGraphicFramePr>
        <xdr:cNvPr id="77" name="Chart 76">
          <a:extLst>
            <a:ext uri="{FF2B5EF4-FFF2-40B4-BE49-F238E27FC236}">
              <a16:creationId xmlns="" xmlns:a16="http://schemas.microsoft.com/office/drawing/2014/main" id="{142A3E67-4042-420C-92A1-07B5AB37F7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5"/>
        </a:graphicData>
      </a:graphic>
    </xdr:graphicFrame>
    <xdr:clientData/>
  </xdr:twoCellAnchor>
  <xdr:twoCellAnchor>
    <xdr:from>
      <xdr:col>1</xdr:col>
      <xdr:colOff>29028</xdr:colOff>
      <xdr:row>84</xdr:row>
      <xdr:rowOff>87088</xdr:rowOff>
    </xdr:from>
    <xdr:to>
      <xdr:col>8</xdr:col>
      <xdr:colOff>66675</xdr:colOff>
      <xdr:row>107</xdr:row>
      <xdr:rowOff>180976</xdr:rowOff>
    </xdr:to>
    <xdr:graphicFrame macro="">
      <xdr:nvGraphicFramePr>
        <xdr:cNvPr id="78" name="Chart 77">
          <a:extLst>
            <a:ext uri="{FF2B5EF4-FFF2-40B4-BE49-F238E27FC236}">
              <a16:creationId xmlns="" xmlns:a16="http://schemas.microsoft.com/office/drawing/2014/main" id="{8BCF6CBA-CF32-408B-A05E-55F7D631C5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6"/>
        </a:graphicData>
      </a:graphic>
    </xdr:graphicFrame>
    <xdr:clientData/>
  </xdr:twoCellAnchor>
  <xdr:twoCellAnchor>
    <xdr:from>
      <xdr:col>17</xdr:col>
      <xdr:colOff>39460</xdr:colOff>
      <xdr:row>49</xdr:row>
      <xdr:rowOff>44903</xdr:rowOff>
    </xdr:from>
    <xdr:to>
      <xdr:col>23</xdr:col>
      <xdr:colOff>771525</xdr:colOff>
      <xdr:row>73</xdr:row>
      <xdr:rowOff>57150</xdr:rowOff>
    </xdr:to>
    <xdr:graphicFrame macro="">
      <xdr:nvGraphicFramePr>
        <xdr:cNvPr id="79" name="Chart 78">
          <a:extLst>
            <a:ext uri="{FF2B5EF4-FFF2-40B4-BE49-F238E27FC236}">
              <a16:creationId xmlns="" xmlns:a16="http://schemas.microsoft.com/office/drawing/2014/main" id="{DB95DED9-AC80-4532-A902-7684906308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32</xdr:row>
      <xdr:rowOff>46808</xdr:rowOff>
    </xdr:from>
    <xdr:to>
      <xdr:col>13</xdr:col>
      <xdr:colOff>235132</xdr:colOff>
      <xdr:row>53</xdr:row>
      <xdr:rowOff>175259</xdr:rowOff>
    </xdr:to>
    <xdr:graphicFrame macro="">
      <xdr:nvGraphicFramePr>
        <xdr:cNvPr id="2" name="Chart 1">
          <a:extLst>
            <a:ext uri="{FF2B5EF4-FFF2-40B4-BE49-F238E27FC236}">
              <a16:creationId xmlns="" xmlns:a16="http://schemas.microsoft.com/office/drawing/2014/main" id="{B221CF4E-9ACB-4548-8EF7-6B02759BF4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117567</xdr:colOff>
      <xdr:row>54</xdr:row>
      <xdr:rowOff>25036</xdr:rowOff>
    </xdr:from>
    <xdr:to>
      <xdr:col>13</xdr:col>
      <xdr:colOff>230779</xdr:colOff>
      <xdr:row>75</xdr:row>
      <xdr:rowOff>144779</xdr:rowOff>
    </xdr:to>
    <xdr:graphicFrame macro="">
      <xdr:nvGraphicFramePr>
        <xdr:cNvPr id="3" name="Chart 2">
          <a:extLst>
            <a:ext uri="{FF2B5EF4-FFF2-40B4-BE49-F238E27FC236}">
              <a16:creationId xmlns="" xmlns:a16="http://schemas.microsoft.com/office/drawing/2014/main" id="{12BE19F8-07EE-4D5C-8496-D254FB984E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104503</xdr:colOff>
      <xdr:row>54</xdr:row>
      <xdr:rowOff>6531</xdr:rowOff>
    </xdr:from>
    <xdr:to>
      <xdr:col>35</xdr:col>
      <xdr:colOff>343990</xdr:colOff>
      <xdr:row>75</xdr:row>
      <xdr:rowOff>126274</xdr:rowOff>
    </xdr:to>
    <xdr:graphicFrame macro="">
      <xdr:nvGraphicFramePr>
        <xdr:cNvPr id="4" name="Chart 3">
          <a:extLst>
            <a:ext uri="{FF2B5EF4-FFF2-40B4-BE49-F238E27FC236}">
              <a16:creationId xmlns="" xmlns:a16="http://schemas.microsoft.com/office/drawing/2014/main" id="{5689FEB0-0CB4-49E6-A548-81C6594F58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96883</xdr:colOff>
      <xdr:row>32</xdr:row>
      <xdr:rowOff>27215</xdr:rowOff>
    </xdr:from>
    <xdr:to>
      <xdr:col>35</xdr:col>
      <xdr:colOff>336370</xdr:colOff>
      <xdr:row>53</xdr:row>
      <xdr:rowOff>155666</xdr:rowOff>
    </xdr:to>
    <xdr:graphicFrame macro="">
      <xdr:nvGraphicFramePr>
        <xdr:cNvPr id="5" name="Chart 4">
          <a:extLst>
            <a:ext uri="{FF2B5EF4-FFF2-40B4-BE49-F238E27FC236}">
              <a16:creationId xmlns="" xmlns:a16="http://schemas.microsoft.com/office/drawing/2014/main" id="{25FBA3C0-0791-4964-B416-81AD935357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6"/>
  <sheetViews>
    <sheetView tabSelected="1" zoomScale="85" zoomScaleNormal="85" workbookViewId="0">
      <selection activeCell="D54" sqref="D54"/>
    </sheetView>
  </sheetViews>
  <sheetFormatPr defaultRowHeight="15" x14ac:dyDescent="0.25"/>
  <cols>
    <col min="2" max="2" width="13.5703125" customWidth="1"/>
    <col min="3" max="3" width="9.5703125" bestFit="1" customWidth="1"/>
  </cols>
  <sheetData>
    <row r="1" spans="1:25" x14ac:dyDescent="0.25">
      <c r="A1" s="14"/>
      <c r="B1" s="14"/>
      <c r="C1" s="14"/>
      <c r="D1" s="14"/>
      <c r="E1" s="14"/>
      <c r="F1" s="14"/>
      <c r="G1" s="14"/>
    </row>
    <row r="2" spans="1:25" x14ac:dyDescent="0.25">
      <c r="A2" s="14"/>
      <c r="B2" s="14"/>
      <c r="C2" s="14"/>
      <c r="D2" s="14"/>
      <c r="E2" s="14"/>
      <c r="F2" s="14"/>
      <c r="G2" s="14"/>
    </row>
    <row r="3" spans="1:25" ht="17.25" x14ac:dyDescent="0.3">
      <c r="A3" s="28" t="s">
        <v>84</v>
      </c>
      <c r="B3" s="14"/>
      <c r="C3" s="14"/>
      <c r="D3" s="14"/>
      <c r="E3" s="14"/>
      <c r="F3" s="14"/>
      <c r="G3" s="14"/>
    </row>
    <row r="4" spans="1:25" ht="17.25" x14ac:dyDescent="0.3">
      <c r="A4" s="28"/>
      <c r="B4" s="14"/>
      <c r="C4" s="14"/>
      <c r="D4" s="14"/>
      <c r="E4" s="14"/>
      <c r="F4" s="14"/>
      <c r="G4" s="14"/>
      <c r="L4" t="s">
        <v>115</v>
      </c>
    </row>
    <row r="5" spans="1:25" x14ac:dyDescent="0.25">
      <c r="B5" s="14" t="s">
        <v>85</v>
      </c>
      <c r="C5" s="14"/>
      <c r="D5" s="14"/>
      <c r="E5" s="14"/>
      <c r="F5" s="14"/>
      <c r="G5" s="14"/>
      <c r="H5" s="14"/>
      <c r="I5" s="14"/>
      <c r="J5" s="14"/>
      <c r="K5" s="14"/>
      <c r="L5" s="401"/>
      <c r="M5" s="401"/>
      <c r="N5" s="401"/>
      <c r="O5" s="401"/>
      <c r="P5" s="401"/>
      <c r="Q5" s="401"/>
      <c r="R5" s="401"/>
      <c r="S5" s="401"/>
      <c r="T5" s="401"/>
      <c r="U5" s="401"/>
      <c r="V5" s="401"/>
      <c r="W5" s="14"/>
      <c r="X5" s="14"/>
      <c r="Y5" s="14"/>
    </row>
    <row r="6" spans="1:25" x14ac:dyDescent="0.25">
      <c r="B6" s="205" t="s">
        <v>80</v>
      </c>
      <c r="C6" s="14"/>
      <c r="D6" s="14"/>
      <c r="E6" s="14"/>
      <c r="F6" s="14"/>
      <c r="G6" s="14"/>
      <c r="H6" s="14"/>
      <c r="I6" s="14"/>
      <c r="J6" s="14"/>
      <c r="K6" s="14"/>
      <c r="L6" s="401"/>
      <c r="M6" s="401"/>
      <c r="N6" s="401"/>
      <c r="O6" s="401"/>
      <c r="P6" s="401"/>
      <c r="Q6" s="401"/>
      <c r="R6" s="401"/>
      <c r="S6" s="401"/>
      <c r="T6" s="401"/>
      <c r="U6" s="401"/>
      <c r="V6" s="401"/>
      <c r="W6" s="14"/>
      <c r="X6" s="14"/>
      <c r="Y6" s="14"/>
    </row>
    <row r="7" spans="1:25" x14ac:dyDescent="0.25">
      <c r="C7" s="14"/>
      <c r="D7" s="14"/>
      <c r="E7" s="14"/>
      <c r="F7" s="14"/>
      <c r="G7" s="14"/>
      <c r="H7" s="14"/>
      <c r="I7" s="14"/>
      <c r="J7" s="14"/>
      <c r="K7" s="14"/>
      <c r="L7" s="401"/>
      <c r="M7" s="401"/>
      <c r="N7" s="401"/>
      <c r="O7" s="401"/>
      <c r="P7" s="401"/>
      <c r="Q7" s="401"/>
      <c r="R7" s="401"/>
      <c r="S7" s="401"/>
      <c r="T7" s="401"/>
      <c r="U7" s="401"/>
      <c r="V7" s="401"/>
      <c r="W7" s="14"/>
      <c r="X7" s="14"/>
      <c r="Y7" s="14"/>
    </row>
    <row r="8" spans="1:25" x14ac:dyDescent="0.25">
      <c r="C8" s="14"/>
      <c r="D8" s="14"/>
      <c r="E8" s="14"/>
      <c r="F8" s="14"/>
      <c r="G8" s="14"/>
      <c r="H8" s="14"/>
      <c r="I8" s="14"/>
      <c r="J8" s="14"/>
      <c r="K8" s="14"/>
      <c r="L8" s="401"/>
      <c r="M8" s="401"/>
      <c r="N8" s="401"/>
      <c r="O8" s="401"/>
      <c r="P8" s="401"/>
      <c r="Q8" s="401"/>
      <c r="R8" s="401"/>
      <c r="S8" s="401"/>
      <c r="T8" s="401"/>
      <c r="U8" s="401"/>
      <c r="V8" s="401"/>
      <c r="W8" s="14"/>
      <c r="X8" s="14"/>
      <c r="Y8" s="14"/>
    </row>
    <row r="9" spans="1:25" x14ac:dyDescent="0.25">
      <c r="C9" s="14"/>
      <c r="D9" s="14"/>
      <c r="E9" s="14"/>
      <c r="F9" s="14"/>
      <c r="G9" s="14"/>
      <c r="H9" s="14"/>
      <c r="I9" s="14"/>
      <c r="J9" s="14"/>
      <c r="K9" s="14"/>
      <c r="L9" s="401"/>
      <c r="M9" s="401"/>
      <c r="N9" s="401"/>
      <c r="O9" s="401"/>
      <c r="P9" s="401"/>
      <c r="Q9" s="401"/>
      <c r="R9" s="401"/>
      <c r="S9" s="401"/>
      <c r="T9" s="401"/>
      <c r="U9" s="401"/>
      <c r="V9" s="401"/>
      <c r="W9" s="14"/>
      <c r="X9" s="14"/>
      <c r="Y9" s="14"/>
    </row>
    <row r="10" spans="1:25" x14ac:dyDescent="0.25">
      <c r="C10" s="14"/>
      <c r="D10" s="14"/>
      <c r="E10" s="14"/>
      <c r="F10" s="14"/>
      <c r="G10" s="14"/>
      <c r="H10" s="14"/>
      <c r="I10" s="14"/>
      <c r="J10" s="14"/>
      <c r="K10" s="14"/>
      <c r="L10" s="401"/>
      <c r="M10" s="401"/>
      <c r="N10" s="401"/>
      <c r="O10" s="401"/>
      <c r="P10" s="401"/>
      <c r="Q10" s="401"/>
      <c r="R10" s="401"/>
      <c r="S10" s="401"/>
      <c r="T10" s="401"/>
      <c r="U10" s="401"/>
      <c r="V10" s="401"/>
      <c r="W10" s="14"/>
      <c r="X10" s="14"/>
      <c r="Y10" s="14"/>
    </row>
    <row r="11" spans="1:25" x14ac:dyDescent="0.25">
      <c r="C11" s="14"/>
      <c r="D11" s="14"/>
      <c r="E11" s="14"/>
      <c r="F11" s="14"/>
      <c r="G11" s="14"/>
      <c r="H11" s="14"/>
      <c r="I11" s="14"/>
      <c r="J11" s="14"/>
      <c r="K11" s="14"/>
      <c r="L11" s="401"/>
      <c r="M11" s="401"/>
      <c r="N11" s="401"/>
      <c r="O11" s="401"/>
      <c r="P11" s="401"/>
      <c r="Q11" s="401"/>
      <c r="R11" s="401"/>
      <c r="S11" s="401"/>
      <c r="T11" s="401"/>
      <c r="U11" s="401"/>
      <c r="V11" s="401"/>
      <c r="W11" s="14"/>
      <c r="X11" s="14"/>
      <c r="Y11" s="14"/>
    </row>
    <row r="12" spans="1:25" x14ac:dyDescent="0.25">
      <c r="C12" s="14"/>
      <c r="D12" s="14"/>
      <c r="E12" s="14"/>
      <c r="F12" s="14"/>
      <c r="G12" s="14"/>
      <c r="H12" s="14"/>
      <c r="I12" s="14"/>
      <c r="J12" s="14"/>
      <c r="K12" s="14"/>
      <c r="L12" s="401"/>
      <c r="M12" s="401"/>
      <c r="N12" s="401"/>
      <c r="O12" s="401"/>
      <c r="P12" s="401"/>
      <c r="Q12" s="401"/>
      <c r="R12" s="401"/>
      <c r="S12" s="401"/>
      <c r="T12" s="401"/>
      <c r="U12" s="401"/>
      <c r="V12" s="401"/>
      <c r="W12" s="14"/>
      <c r="X12" s="14"/>
      <c r="Y12" s="14"/>
    </row>
    <row r="13" spans="1:25" x14ac:dyDescent="0.25">
      <c r="C13" s="14"/>
      <c r="D13" s="14"/>
      <c r="E13" s="14"/>
      <c r="F13" s="14"/>
      <c r="G13" s="14"/>
      <c r="H13" s="14"/>
      <c r="I13" s="14"/>
      <c r="J13" s="14"/>
      <c r="K13" s="14"/>
      <c r="L13" s="401"/>
      <c r="M13" s="401"/>
      <c r="N13" s="401"/>
      <c r="O13" s="401"/>
      <c r="P13" s="401"/>
      <c r="Q13" s="401"/>
      <c r="R13" s="401"/>
      <c r="S13" s="401"/>
      <c r="T13" s="401"/>
      <c r="U13" s="401"/>
      <c r="V13" s="401"/>
      <c r="W13" s="14"/>
      <c r="X13" s="14"/>
      <c r="Y13" s="14"/>
    </row>
    <row r="14" spans="1:25" x14ac:dyDescent="0.25">
      <c r="C14" s="14"/>
      <c r="D14" s="14"/>
      <c r="E14" s="14"/>
      <c r="F14" s="14"/>
      <c r="G14" s="14"/>
      <c r="H14" s="14"/>
      <c r="I14" s="14"/>
      <c r="J14" s="14"/>
      <c r="K14" s="14"/>
      <c r="L14" s="401"/>
      <c r="M14" s="401"/>
      <c r="N14" s="401"/>
      <c r="O14" s="401"/>
      <c r="P14" s="401"/>
      <c r="Q14" s="401"/>
      <c r="R14" s="401"/>
      <c r="S14" s="401"/>
      <c r="T14" s="401"/>
      <c r="U14" s="401"/>
      <c r="V14" s="401"/>
      <c r="W14" s="14"/>
      <c r="X14" s="14"/>
      <c r="Y14" s="14"/>
    </row>
    <row r="15" spans="1:25" x14ac:dyDescent="0.25">
      <c r="C15" s="14"/>
      <c r="D15" s="14"/>
      <c r="E15" s="14"/>
      <c r="F15" s="14"/>
      <c r="G15" s="14"/>
      <c r="H15" s="14"/>
      <c r="I15" s="14"/>
      <c r="J15" s="14"/>
      <c r="K15" s="14"/>
      <c r="L15" s="401"/>
      <c r="M15" s="401"/>
      <c r="N15" s="401"/>
      <c r="O15" s="401"/>
      <c r="P15" s="401"/>
      <c r="Q15" s="401"/>
      <c r="R15" s="401"/>
      <c r="S15" s="401"/>
      <c r="T15" s="401"/>
      <c r="U15" s="401"/>
      <c r="V15" s="401"/>
      <c r="W15" s="14"/>
      <c r="X15" s="14"/>
      <c r="Y15" s="14"/>
    </row>
    <row r="16" spans="1:25" x14ac:dyDescent="0.25">
      <c r="C16" s="14"/>
      <c r="D16" s="14"/>
      <c r="E16" s="14"/>
      <c r="F16" s="14"/>
      <c r="G16" s="14"/>
      <c r="H16" s="14"/>
      <c r="I16" s="14"/>
      <c r="J16" s="14"/>
      <c r="K16" s="14"/>
      <c r="L16" s="401"/>
      <c r="M16" s="401"/>
      <c r="N16" s="401"/>
      <c r="O16" s="401"/>
      <c r="P16" s="401"/>
      <c r="Q16" s="401"/>
      <c r="R16" s="401"/>
      <c r="S16" s="401"/>
      <c r="T16" s="401"/>
      <c r="U16" s="401"/>
      <c r="V16" s="401"/>
      <c r="W16" s="14"/>
      <c r="X16" s="14"/>
      <c r="Y16" s="14"/>
    </row>
    <row r="17" spans="3:25" x14ac:dyDescent="0.25">
      <c r="C17" s="14"/>
      <c r="D17" s="14"/>
      <c r="E17" s="14"/>
      <c r="F17" s="14"/>
      <c r="G17" s="14"/>
      <c r="H17" s="14"/>
      <c r="I17" s="14"/>
      <c r="J17" s="14"/>
      <c r="K17" s="14"/>
      <c r="L17" s="401"/>
      <c r="M17" s="401"/>
      <c r="N17" s="401"/>
      <c r="O17" s="401"/>
      <c r="P17" s="401"/>
      <c r="Q17" s="401"/>
      <c r="R17" s="401"/>
      <c r="S17" s="401"/>
      <c r="T17" s="401"/>
      <c r="U17" s="401"/>
      <c r="V17" s="401"/>
      <c r="W17" s="14"/>
      <c r="X17" s="14"/>
      <c r="Y17" s="14"/>
    </row>
    <row r="18" spans="3:25" x14ac:dyDescent="0.25">
      <c r="C18" s="14"/>
      <c r="D18" s="14"/>
      <c r="E18" s="14"/>
      <c r="F18" s="14"/>
      <c r="G18" s="14"/>
      <c r="H18" s="14"/>
      <c r="I18" s="14"/>
      <c r="J18" s="14"/>
      <c r="K18" s="14"/>
      <c r="L18" s="401"/>
      <c r="M18" s="401"/>
      <c r="N18" s="401"/>
      <c r="O18" s="401"/>
      <c r="P18" s="401"/>
      <c r="Q18" s="401"/>
      <c r="R18" s="401"/>
      <c r="S18" s="401"/>
      <c r="T18" s="401"/>
      <c r="U18" s="401"/>
      <c r="V18" s="401"/>
      <c r="W18" s="14"/>
      <c r="X18" s="14"/>
      <c r="Y18" s="14"/>
    </row>
    <row r="19" spans="3:25" x14ac:dyDescent="0.25">
      <c r="C19" s="14"/>
      <c r="D19" s="14"/>
      <c r="E19" s="14"/>
      <c r="F19" s="14"/>
      <c r="G19" s="14"/>
      <c r="H19" s="14"/>
      <c r="I19" s="14"/>
      <c r="J19" s="14"/>
      <c r="K19" s="14"/>
      <c r="L19" s="401"/>
      <c r="M19" s="401"/>
      <c r="N19" s="401"/>
      <c r="O19" s="401"/>
      <c r="P19" s="401"/>
      <c r="Q19" s="401"/>
      <c r="R19" s="401"/>
      <c r="S19" s="401"/>
      <c r="T19" s="401"/>
      <c r="U19" s="401"/>
      <c r="V19" s="401"/>
      <c r="W19" s="14"/>
      <c r="X19" s="14"/>
      <c r="Y19" s="14"/>
    </row>
    <row r="20" spans="3:25" x14ac:dyDescent="0.25">
      <c r="C20" s="14"/>
      <c r="D20" s="14"/>
      <c r="E20" s="14"/>
      <c r="F20" s="14"/>
      <c r="G20" s="14"/>
      <c r="H20" s="14"/>
      <c r="I20" s="14"/>
      <c r="J20" s="14"/>
      <c r="K20" s="14"/>
      <c r="L20" s="401"/>
      <c r="M20" s="401"/>
      <c r="N20" s="401"/>
      <c r="O20" s="401"/>
      <c r="P20" s="401"/>
      <c r="Q20" s="401"/>
      <c r="R20" s="401"/>
      <c r="S20" s="401"/>
      <c r="T20" s="401"/>
      <c r="U20" s="401"/>
      <c r="V20" s="401"/>
      <c r="W20" s="14"/>
      <c r="X20" s="14"/>
      <c r="Y20" s="14"/>
    </row>
    <row r="21" spans="3:25" x14ac:dyDescent="0.25">
      <c r="C21" s="14"/>
      <c r="D21" s="14"/>
      <c r="E21" s="14"/>
      <c r="F21" s="14"/>
      <c r="G21" s="14"/>
      <c r="H21" s="14"/>
      <c r="I21" s="14"/>
      <c r="J21" s="14"/>
      <c r="K21" s="14"/>
      <c r="L21" s="401"/>
      <c r="M21" s="401"/>
      <c r="N21" s="401"/>
      <c r="O21" s="401"/>
      <c r="P21" s="401"/>
      <c r="Q21" s="401"/>
      <c r="R21" s="401"/>
      <c r="S21" s="401"/>
      <c r="T21" s="401"/>
      <c r="U21" s="401"/>
      <c r="V21" s="401"/>
      <c r="W21" s="14"/>
      <c r="X21" s="14"/>
      <c r="Y21" s="14"/>
    </row>
    <row r="22" spans="3:25" x14ac:dyDescent="0.25">
      <c r="C22" s="14"/>
      <c r="D22" s="14"/>
      <c r="E22" s="14"/>
      <c r="F22" s="14"/>
      <c r="G22" s="14"/>
      <c r="H22" s="14"/>
      <c r="I22" s="14"/>
      <c r="J22" s="14"/>
      <c r="K22" s="14"/>
      <c r="L22" s="401"/>
      <c r="M22" s="401"/>
      <c r="N22" s="401"/>
      <c r="O22" s="401"/>
      <c r="P22" s="401"/>
      <c r="Q22" s="401"/>
      <c r="R22" s="401"/>
      <c r="S22" s="401"/>
      <c r="T22" s="401"/>
      <c r="U22" s="401"/>
      <c r="V22" s="401"/>
      <c r="W22" s="14"/>
      <c r="X22" s="14"/>
      <c r="Y22" s="14"/>
    </row>
    <row r="23" spans="3:25" x14ac:dyDescent="0.25">
      <c r="C23" s="14"/>
      <c r="D23" s="14"/>
      <c r="E23" s="14"/>
      <c r="F23" s="14"/>
      <c r="G23" s="14"/>
      <c r="H23" s="14"/>
      <c r="I23" s="14"/>
      <c r="J23" s="14"/>
      <c r="K23" s="14"/>
      <c r="L23" s="401"/>
      <c r="M23" s="401"/>
      <c r="N23" s="401"/>
      <c r="O23" s="401"/>
      <c r="P23" s="401"/>
      <c r="Q23" s="401"/>
      <c r="R23" s="401"/>
      <c r="S23" s="401"/>
      <c r="T23" s="401"/>
      <c r="U23" s="401"/>
      <c r="V23" s="401"/>
      <c r="W23" s="14"/>
      <c r="X23" s="14"/>
      <c r="Y23" s="14"/>
    </row>
    <row r="24" spans="3:25" x14ac:dyDescent="0.25">
      <c r="C24" s="14"/>
      <c r="D24" s="14"/>
      <c r="E24" s="14"/>
      <c r="F24" s="14"/>
      <c r="G24" s="14"/>
      <c r="H24" s="14"/>
      <c r="I24" s="14"/>
      <c r="J24" s="14"/>
      <c r="K24" s="14"/>
      <c r="L24" s="401"/>
      <c r="M24" s="401"/>
      <c r="N24" s="401"/>
      <c r="O24" s="401"/>
      <c r="P24" s="401"/>
      <c r="Q24" s="401"/>
      <c r="R24" s="401"/>
      <c r="S24" s="401"/>
      <c r="T24" s="401"/>
      <c r="U24" s="401"/>
      <c r="V24" s="401"/>
      <c r="W24" s="14"/>
      <c r="X24" s="14"/>
      <c r="Y24" s="14"/>
    </row>
    <row r="25" spans="3:25" x14ac:dyDescent="0.25">
      <c r="C25" s="14"/>
      <c r="D25" s="14"/>
      <c r="E25" s="14"/>
      <c r="F25" s="14"/>
      <c r="G25" s="14"/>
      <c r="H25" s="14"/>
      <c r="I25" s="14"/>
      <c r="J25" s="14"/>
      <c r="K25" s="14"/>
      <c r="L25" s="401"/>
      <c r="M25" s="401"/>
      <c r="N25" s="401"/>
      <c r="O25" s="401"/>
      <c r="P25" s="401"/>
      <c r="Q25" s="401"/>
      <c r="R25" s="401"/>
      <c r="S25" s="401"/>
      <c r="T25" s="401"/>
      <c r="U25" s="401"/>
      <c r="V25" s="401"/>
      <c r="W25" s="14"/>
      <c r="X25" s="14"/>
      <c r="Y25" s="14"/>
    </row>
    <row r="26" spans="3:25" x14ac:dyDescent="0.25">
      <c r="C26" s="14"/>
      <c r="D26" s="14"/>
      <c r="E26" s="14"/>
      <c r="F26" s="14"/>
      <c r="G26" s="14"/>
      <c r="H26" s="14"/>
      <c r="I26" s="14"/>
      <c r="J26" s="14"/>
      <c r="K26" s="14"/>
      <c r="L26" s="401"/>
      <c r="M26" s="401"/>
      <c r="N26" s="401"/>
      <c r="O26" s="401"/>
      <c r="P26" s="401"/>
      <c r="Q26" s="401"/>
      <c r="R26" s="401"/>
      <c r="S26" s="401"/>
      <c r="T26" s="401"/>
      <c r="U26" s="401"/>
      <c r="V26" s="401"/>
      <c r="W26" s="14"/>
      <c r="X26" s="14"/>
      <c r="Y26" s="14"/>
    </row>
    <row r="27" spans="3:25" x14ac:dyDescent="0.25">
      <c r="C27" s="14"/>
      <c r="D27" s="14"/>
      <c r="E27" s="14"/>
      <c r="F27" s="14"/>
      <c r="G27" s="14"/>
      <c r="H27" s="14"/>
      <c r="I27" s="14"/>
      <c r="J27" s="14"/>
      <c r="K27" s="14"/>
      <c r="L27" s="401"/>
      <c r="M27" s="401"/>
      <c r="N27" s="401"/>
      <c r="O27" s="401"/>
      <c r="P27" s="401"/>
      <c r="Q27" s="401"/>
      <c r="R27" s="401"/>
      <c r="S27" s="401"/>
      <c r="T27" s="401"/>
      <c r="U27" s="401"/>
      <c r="V27" s="401"/>
      <c r="W27" s="14"/>
      <c r="X27" s="14"/>
      <c r="Y27" s="14"/>
    </row>
    <row r="28" spans="3:25" x14ac:dyDescent="0.25">
      <c r="C28" s="14"/>
      <c r="D28" s="14"/>
      <c r="E28" s="14"/>
      <c r="F28" s="14"/>
      <c r="G28" s="14"/>
      <c r="H28" s="14"/>
      <c r="I28" s="14"/>
      <c r="J28" s="14"/>
      <c r="K28" s="14"/>
      <c r="L28" s="401"/>
      <c r="M28" s="401"/>
      <c r="N28" s="401"/>
      <c r="O28" s="401"/>
      <c r="P28" s="401"/>
      <c r="Q28" s="401"/>
      <c r="R28" s="401"/>
      <c r="S28" s="401"/>
      <c r="T28" s="401"/>
      <c r="U28" s="401"/>
      <c r="V28" s="401"/>
      <c r="W28" s="14"/>
      <c r="X28" s="14"/>
      <c r="Y28" s="14"/>
    </row>
    <row r="29" spans="3:25" x14ac:dyDescent="0.25">
      <c r="C29" s="14"/>
      <c r="D29" s="14"/>
      <c r="E29" s="14"/>
      <c r="F29" s="14"/>
      <c r="G29" s="14"/>
      <c r="H29" s="14"/>
      <c r="I29" s="14"/>
      <c r="J29" s="14"/>
      <c r="K29" s="14"/>
      <c r="L29" s="401"/>
      <c r="M29" s="401"/>
      <c r="N29" s="401"/>
      <c r="O29" s="401"/>
      <c r="P29" s="401"/>
      <c r="Q29" s="401"/>
      <c r="R29" s="401"/>
      <c r="S29" s="401"/>
      <c r="T29" s="401"/>
      <c r="U29" s="401"/>
      <c r="V29" s="401"/>
      <c r="W29" s="14"/>
      <c r="X29" s="14"/>
      <c r="Y29" s="14"/>
    </row>
    <row r="30" spans="3:25" x14ac:dyDescent="0.25">
      <c r="C30" s="14"/>
      <c r="D30" s="14"/>
      <c r="E30" s="14"/>
      <c r="F30" s="14"/>
      <c r="G30" s="14"/>
      <c r="H30" s="14"/>
      <c r="I30" s="14"/>
      <c r="J30" s="14"/>
      <c r="K30" s="14"/>
      <c r="L30" s="401"/>
      <c r="M30" s="401"/>
      <c r="N30" s="401"/>
      <c r="O30" s="401"/>
      <c r="P30" s="401"/>
      <c r="Q30" s="401"/>
      <c r="R30" s="401"/>
      <c r="S30" s="401"/>
      <c r="T30" s="401"/>
      <c r="U30" s="401"/>
      <c r="V30" s="401"/>
      <c r="W30" s="14"/>
      <c r="X30" s="14"/>
      <c r="Y30" s="14"/>
    </row>
    <row r="31" spans="3:25" x14ac:dyDescent="0.25">
      <c r="C31" s="14"/>
      <c r="D31" s="14"/>
      <c r="E31" s="14"/>
      <c r="F31" s="14"/>
      <c r="G31" s="14"/>
      <c r="H31" s="14"/>
      <c r="I31" s="14"/>
      <c r="J31" s="14"/>
      <c r="K31" s="14"/>
      <c r="L31" s="401"/>
      <c r="M31" s="401"/>
      <c r="N31" s="401"/>
      <c r="O31" s="401"/>
      <c r="P31" s="401"/>
      <c r="Q31" s="401"/>
      <c r="R31" s="401"/>
      <c r="S31" s="401"/>
      <c r="T31" s="401"/>
      <c r="U31" s="401"/>
      <c r="V31" s="401"/>
      <c r="W31" s="14"/>
      <c r="X31" s="14"/>
      <c r="Y31" s="14"/>
    </row>
    <row r="32" spans="3:25" x14ac:dyDescent="0.25">
      <c r="C32" s="14"/>
      <c r="D32" s="14"/>
      <c r="E32" s="14"/>
      <c r="F32" s="14"/>
      <c r="G32" s="14"/>
      <c r="H32" s="14"/>
      <c r="I32" s="14"/>
      <c r="J32" s="14"/>
      <c r="K32" s="14"/>
      <c r="L32" s="401"/>
      <c r="M32" s="401"/>
      <c r="N32" s="401"/>
      <c r="O32" s="401"/>
      <c r="P32" s="401"/>
      <c r="Q32" s="401"/>
      <c r="R32" s="401"/>
      <c r="S32" s="401"/>
      <c r="T32" s="401"/>
      <c r="U32" s="401"/>
      <c r="V32" s="401"/>
      <c r="W32" s="14"/>
      <c r="X32" s="14"/>
      <c r="Y32" s="14"/>
    </row>
    <row r="33" spans="1:25" x14ac:dyDescent="0.25">
      <c r="C33" s="14"/>
      <c r="D33" s="14"/>
      <c r="E33" s="14"/>
      <c r="F33" s="14"/>
      <c r="G33" s="14"/>
      <c r="H33" s="14"/>
      <c r="I33" s="14"/>
      <c r="J33" s="14"/>
      <c r="K33" s="14"/>
      <c r="L33" s="401"/>
      <c r="M33" s="401"/>
      <c r="N33" s="401"/>
      <c r="O33" s="401"/>
      <c r="P33" s="401"/>
      <c r="Q33" s="401"/>
      <c r="R33" s="401"/>
      <c r="S33" s="401"/>
      <c r="T33" s="401"/>
      <c r="U33" s="401"/>
      <c r="V33" s="401"/>
      <c r="W33" s="14"/>
      <c r="X33" s="14"/>
      <c r="Y33" s="14"/>
    </row>
    <row r="34" spans="1:25" x14ac:dyDescent="0.25">
      <c r="C34" s="14"/>
      <c r="D34" s="14"/>
      <c r="E34" s="14"/>
      <c r="F34" s="14"/>
      <c r="G34" s="14"/>
      <c r="H34" s="14"/>
      <c r="I34" s="14"/>
      <c r="J34" s="14"/>
      <c r="K34" s="14"/>
      <c r="L34" s="401"/>
      <c r="M34" s="401"/>
      <c r="N34" s="401"/>
      <c r="O34" s="401"/>
      <c r="P34" s="401"/>
      <c r="Q34" s="401"/>
      <c r="R34" s="401"/>
      <c r="S34" s="401"/>
      <c r="T34" s="401"/>
      <c r="U34" s="401"/>
      <c r="V34" s="401"/>
      <c r="W34" s="14"/>
      <c r="X34" s="14"/>
      <c r="Y34" s="14"/>
    </row>
    <row r="35" spans="1:25" x14ac:dyDescent="0.25">
      <c r="C35" s="14"/>
      <c r="D35" s="14"/>
      <c r="E35" s="14"/>
      <c r="F35" s="14"/>
      <c r="G35" s="14"/>
      <c r="H35" s="14"/>
      <c r="I35" s="14"/>
      <c r="J35" s="14"/>
      <c r="K35" s="14"/>
      <c r="L35" s="401"/>
      <c r="M35" s="401"/>
      <c r="N35" s="401"/>
      <c r="O35" s="401"/>
      <c r="P35" s="401"/>
      <c r="Q35" s="401"/>
      <c r="R35" s="401"/>
      <c r="S35" s="401"/>
      <c r="T35" s="401"/>
      <c r="U35" s="401"/>
      <c r="V35" s="401"/>
      <c r="W35" s="14"/>
      <c r="X35" s="14"/>
      <c r="Y35" s="14"/>
    </row>
    <row r="36" spans="1:25" x14ac:dyDescent="0.25">
      <c r="C36" s="14"/>
      <c r="D36" s="14"/>
      <c r="E36" s="14"/>
      <c r="F36" s="14"/>
      <c r="G36" s="14"/>
      <c r="H36" s="14"/>
      <c r="I36" s="14"/>
      <c r="J36" s="14"/>
      <c r="K36" s="14"/>
      <c r="L36" s="401"/>
      <c r="M36" s="401"/>
      <c r="N36" s="401"/>
      <c r="O36" s="401"/>
      <c r="P36" s="401"/>
      <c r="Q36" s="401"/>
      <c r="R36" s="401"/>
      <c r="S36" s="401"/>
      <c r="T36" s="401"/>
      <c r="U36" s="401"/>
      <c r="V36" s="401"/>
      <c r="W36" s="14"/>
      <c r="X36" s="14"/>
      <c r="Y36" s="14"/>
    </row>
    <row r="37" spans="1:25" x14ac:dyDescent="0.25">
      <c r="C37" s="14"/>
      <c r="D37" s="14"/>
      <c r="E37" s="14"/>
      <c r="F37" s="14"/>
      <c r="G37" s="14"/>
      <c r="H37" s="14"/>
      <c r="I37" s="14"/>
      <c r="J37" s="14"/>
      <c r="K37" s="14"/>
      <c r="L37" s="401"/>
      <c r="M37" s="401"/>
      <c r="N37" s="401"/>
      <c r="O37" s="401"/>
      <c r="P37" s="401"/>
      <c r="Q37" s="401"/>
      <c r="R37" s="401"/>
      <c r="S37" s="401"/>
      <c r="T37" s="401"/>
      <c r="U37" s="401"/>
      <c r="V37" s="401"/>
      <c r="W37" s="14"/>
      <c r="X37" s="14"/>
      <c r="Y37" s="14"/>
    </row>
    <row r="38" spans="1:25" s="14" customFormat="1" x14ac:dyDescent="0.25">
      <c r="L38" s="401"/>
      <c r="M38" s="401"/>
      <c r="N38" s="401"/>
      <c r="O38" s="401"/>
      <c r="P38" s="401"/>
      <c r="Q38" s="401"/>
      <c r="R38" s="401"/>
      <c r="S38" s="401"/>
      <c r="T38" s="401"/>
      <c r="U38" s="401"/>
      <c r="V38" s="401"/>
    </row>
    <row r="39" spans="1:25" s="14" customFormat="1" x14ac:dyDescent="0.25">
      <c r="L39" s="401"/>
      <c r="M39" s="401"/>
      <c r="N39" s="401"/>
      <c r="O39" s="401"/>
      <c r="P39" s="401"/>
      <c r="Q39" s="401"/>
      <c r="R39" s="401"/>
      <c r="S39" s="401"/>
      <c r="T39" s="401"/>
      <c r="U39" s="401"/>
      <c r="V39" s="401"/>
    </row>
    <row r="40" spans="1:25" s="14" customFormat="1" x14ac:dyDescent="0.25">
      <c r="L40" s="401"/>
      <c r="M40" s="401"/>
      <c r="N40" s="401"/>
      <c r="O40" s="401"/>
      <c r="P40" s="401"/>
      <c r="Q40" s="401"/>
      <c r="R40" s="401"/>
      <c r="S40" s="401"/>
      <c r="T40" s="401"/>
      <c r="U40" s="401"/>
      <c r="V40" s="401"/>
    </row>
    <row r="41" spans="1:25" s="14" customFormat="1" x14ac:dyDescent="0.25">
      <c r="L41" s="401"/>
      <c r="M41" s="401"/>
      <c r="N41" s="401"/>
      <c r="O41" s="401"/>
      <c r="P41" s="401"/>
      <c r="Q41" s="401"/>
      <c r="R41" s="401"/>
      <c r="S41" s="401"/>
      <c r="T41" s="401"/>
      <c r="U41" s="401"/>
      <c r="V41" s="401"/>
    </row>
    <row r="42" spans="1:25" x14ac:dyDescent="0.25">
      <c r="C42" s="14"/>
      <c r="D42" s="14"/>
      <c r="E42" s="14"/>
      <c r="F42" s="14"/>
      <c r="G42" s="14"/>
      <c r="H42" s="14"/>
      <c r="I42" s="14"/>
      <c r="J42" s="14"/>
      <c r="K42" s="14"/>
      <c r="L42" s="401"/>
      <c r="M42" s="401"/>
      <c r="N42" s="401"/>
      <c r="O42" s="401"/>
      <c r="P42" s="401"/>
      <c r="Q42" s="401"/>
      <c r="R42" s="401"/>
      <c r="S42" s="401"/>
      <c r="T42" s="401"/>
      <c r="U42" s="401"/>
      <c r="V42" s="401"/>
      <c r="W42" s="14"/>
      <c r="X42" s="14"/>
      <c r="Y42" s="14"/>
    </row>
    <row r="43" spans="1:25" x14ac:dyDescent="0.25">
      <c r="C43" s="14"/>
      <c r="D43" s="14"/>
      <c r="E43" s="14"/>
      <c r="F43" s="14"/>
      <c r="G43" s="14"/>
      <c r="H43" s="14"/>
      <c r="I43" s="14"/>
      <c r="J43" s="14"/>
      <c r="K43" s="14"/>
      <c r="L43" s="14"/>
      <c r="M43" s="14"/>
      <c r="N43" s="14"/>
      <c r="O43" s="14"/>
      <c r="P43" s="14"/>
      <c r="Q43" s="14"/>
      <c r="R43" s="14"/>
      <c r="S43" s="14"/>
      <c r="T43" s="14"/>
      <c r="U43" s="14"/>
      <c r="V43" s="14"/>
      <c r="W43" s="14"/>
      <c r="X43" s="14"/>
      <c r="Y43" s="14"/>
    </row>
    <row r="44" spans="1:25" x14ac:dyDescent="0.25">
      <c r="J44" s="14"/>
      <c r="K44" s="14"/>
      <c r="L44" s="14"/>
      <c r="M44" s="14"/>
      <c r="N44" s="14"/>
      <c r="O44" s="14"/>
      <c r="P44" s="14"/>
      <c r="Q44" s="14"/>
      <c r="R44" s="14"/>
      <c r="S44" s="14"/>
      <c r="T44" s="14"/>
      <c r="U44" s="14"/>
      <c r="V44" s="14"/>
      <c r="W44" s="14"/>
      <c r="X44" s="14"/>
      <c r="Y44" s="14"/>
    </row>
    <row r="45" spans="1:25" x14ac:dyDescent="0.25">
      <c r="J45" s="14"/>
      <c r="K45" s="14"/>
      <c r="L45" s="14"/>
      <c r="M45" s="14"/>
      <c r="N45" s="14"/>
      <c r="O45" s="14"/>
      <c r="P45" s="14"/>
      <c r="Q45" s="14"/>
      <c r="R45" s="14"/>
      <c r="S45" s="14"/>
      <c r="T45" s="14"/>
      <c r="U45" s="14"/>
      <c r="V45" s="14"/>
      <c r="W45" s="14"/>
      <c r="X45" s="14"/>
      <c r="Y45" s="14"/>
    </row>
    <row r="46" spans="1:25" s="14" customFormat="1" x14ac:dyDescent="0.25"/>
    <row r="47" spans="1:25" x14ac:dyDescent="0.25">
      <c r="J47" s="14"/>
      <c r="K47" s="14"/>
      <c r="L47" s="14"/>
      <c r="M47" s="14"/>
      <c r="N47" s="14"/>
      <c r="O47" s="14"/>
      <c r="P47" s="14"/>
      <c r="Q47" s="14"/>
      <c r="R47" s="14"/>
      <c r="S47" s="14"/>
      <c r="T47" s="14"/>
      <c r="U47" s="14"/>
      <c r="V47" s="14"/>
      <c r="W47" s="14"/>
      <c r="X47" s="14"/>
      <c r="Y47" s="14"/>
    </row>
    <row r="48" spans="1:25" x14ac:dyDescent="0.25">
      <c r="A48" s="15" t="s">
        <v>396</v>
      </c>
      <c r="B48" s="14"/>
      <c r="C48" s="14"/>
      <c r="D48" s="14"/>
      <c r="E48" s="14"/>
      <c r="F48" s="14"/>
      <c r="G48" s="14"/>
      <c r="H48" s="14"/>
      <c r="I48" s="14"/>
      <c r="J48" s="14"/>
      <c r="K48" s="14"/>
      <c r="L48" s="14"/>
      <c r="M48" s="14"/>
      <c r="N48" s="14"/>
      <c r="O48" s="14"/>
      <c r="P48" s="14"/>
      <c r="Q48" s="14"/>
      <c r="R48" s="14"/>
      <c r="S48" s="14"/>
      <c r="T48" s="14"/>
      <c r="U48" s="14"/>
      <c r="V48" s="14"/>
      <c r="W48" s="14"/>
      <c r="X48" s="14"/>
      <c r="Y48" s="14"/>
    </row>
    <row r="49" spans="1:25" s="14" customFormat="1" x14ac:dyDescent="0.25">
      <c r="A49" s="14" t="s">
        <v>403</v>
      </c>
    </row>
    <row r="50" spans="1:25" s="13" customFormat="1" x14ac:dyDescent="0.25">
      <c r="A50" s="126" t="s">
        <v>397</v>
      </c>
      <c r="C50" s="13" t="s">
        <v>398</v>
      </c>
    </row>
    <row r="51" spans="1:25" s="13" customFormat="1" x14ac:dyDescent="0.25">
      <c r="C51" s="13" t="s">
        <v>402</v>
      </c>
    </row>
    <row r="52" spans="1:25" s="13" customFormat="1" x14ac:dyDescent="0.25">
      <c r="C52" s="13" t="s">
        <v>411</v>
      </c>
    </row>
    <row r="53" spans="1:25" s="13" customFormat="1" x14ac:dyDescent="0.25"/>
    <row r="54" spans="1:25" s="13" customFormat="1" x14ac:dyDescent="0.25">
      <c r="A54" s="126" t="s">
        <v>399</v>
      </c>
    </row>
    <row r="55" spans="1:25" s="14" customFormat="1" x14ac:dyDescent="0.25">
      <c r="A55" s="13" t="s">
        <v>401</v>
      </c>
    </row>
    <row r="56" spans="1:25" s="13" customFormat="1" x14ac:dyDescent="0.25">
      <c r="A56" s="13" t="s">
        <v>400</v>
      </c>
    </row>
    <row r="57" spans="1:25" x14ac:dyDescent="0.25">
      <c r="C57" s="14"/>
      <c r="D57" s="14"/>
      <c r="E57" s="14"/>
      <c r="F57" s="14"/>
      <c r="G57" s="14"/>
      <c r="H57" s="14"/>
      <c r="I57" s="14"/>
      <c r="J57" s="14"/>
      <c r="K57" s="14"/>
      <c r="L57" s="14"/>
      <c r="M57" s="14"/>
      <c r="N57" s="14"/>
      <c r="O57" s="14"/>
      <c r="P57" s="14"/>
      <c r="Q57" s="14"/>
      <c r="R57" s="14"/>
      <c r="S57" s="14"/>
      <c r="T57" s="14"/>
      <c r="U57" s="14"/>
      <c r="V57" s="14"/>
      <c r="W57" s="14"/>
      <c r="X57" s="14"/>
      <c r="Y57" s="14"/>
    </row>
    <row r="58" spans="1:25" x14ac:dyDescent="0.25">
      <c r="A58" s="13" t="s">
        <v>483</v>
      </c>
      <c r="B58" s="13"/>
      <c r="C58" s="13"/>
      <c r="D58" s="14"/>
      <c r="E58" s="14"/>
      <c r="F58" s="14"/>
      <c r="G58" s="14"/>
      <c r="H58" s="14"/>
      <c r="I58" s="14"/>
      <c r="J58" s="14"/>
      <c r="K58" s="14"/>
      <c r="L58" s="14"/>
      <c r="M58" s="14"/>
      <c r="N58" s="14"/>
      <c r="O58" s="14"/>
      <c r="P58" s="14"/>
      <c r="Q58" s="14"/>
      <c r="R58" s="14"/>
      <c r="S58" s="14"/>
      <c r="T58" s="14"/>
      <c r="U58" s="14"/>
      <c r="V58" s="14"/>
      <c r="W58" s="14"/>
      <c r="X58" s="14"/>
      <c r="Y58" s="14"/>
    </row>
    <row r="59" spans="1:25" x14ac:dyDescent="0.25">
      <c r="A59" s="13" t="s">
        <v>163</v>
      </c>
      <c r="B59" s="13"/>
      <c r="C59" s="344">
        <v>43077</v>
      </c>
      <c r="D59" s="14"/>
      <c r="E59" s="14"/>
      <c r="F59" s="14"/>
      <c r="G59" s="14"/>
      <c r="H59" s="14"/>
      <c r="I59" s="14"/>
      <c r="J59" s="14"/>
      <c r="K59" s="14"/>
      <c r="L59" s="14"/>
      <c r="M59" s="14"/>
      <c r="N59" s="14"/>
      <c r="O59" s="14"/>
      <c r="P59" s="14"/>
      <c r="Q59" s="14"/>
      <c r="R59" s="14"/>
      <c r="S59" s="14"/>
      <c r="T59" s="14"/>
      <c r="U59" s="14"/>
      <c r="V59" s="14"/>
      <c r="W59" s="14"/>
      <c r="X59" s="14"/>
      <c r="Y59" s="14"/>
    </row>
    <row r="60" spans="1:25" x14ac:dyDescent="0.25">
      <c r="C60" s="14"/>
      <c r="D60" s="14"/>
      <c r="E60" s="14"/>
      <c r="F60" s="14"/>
      <c r="G60" s="14"/>
      <c r="H60" s="14"/>
      <c r="I60" s="14"/>
      <c r="J60" s="14"/>
      <c r="K60" s="14"/>
      <c r="L60" s="14"/>
      <c r="M60" s="14"/>
      <c r="N60" s="14"/>
      <c r="O60" s="14"/>
      <c r="P60" s="14"/>
      <c r="Q60" s="14"/>
      <c r="R60" s="14"/>
      <c r="S60" s="14"/>
      <c r="T60" s="14"/>
      <c r="U60" s="14"/>
      <c r="V60" s="14"/>
      <c r="W60" s="14"/>
      <c r="X60" s="14"/>
      <c r="Y60" s="14"/>
    </row>
    <row r="61" spans="1:25" x14ac:dyDescent="0.25">
      <c r="C61" s="14"/>
      <c r="D61" s="14"/>
      <c r="E61" s="14"/>
      <c r="F61" s="14"/>
      <c r="G61" s="14"/>
      <c r="H61" s="14"/>
      <c r="I61" s="14"/>
      <c r="J61" s="14"/>
      <c r="K61" s="14"/>
      <c r="L61" s="14"/>
      <c r="M61" s="14"/>
      <c r="N61" s="14"/>
      <c r="O61" s="14"/>
      <c r="P61" s="14"/>
      <c r="Q61" s="14"/>
      <c r="R61" s="14"/>
      <c r="S61" s="14"/>
      <c r="T61" s="14"/>
      <c r="U61" s="14"/>
      <c r="V61" s="14"/>
      <c r="W61" s="14"/>
      <c r="X61" s="14"/>
      <c r="Y61" s="14"/>
    </row>
    <row r="62" spans="1:25" x14ac:dyDescent="0.25">
      <c r="C62" s="14"/>
      <c r="D62" s="14"/>
      <c r="E62" s="14"/>
      <c r="F62" s="14"/>
      <c r="G62" s="14"/>
      <c r="H62" s="14"/>
      <c r="I62" s="14"/>
      <c r="J62" s="14"/>
      <c r="K62" s="14"/>
      <c r="L62" s="14"/>
      <c r="M62" s="14"/>
      <c r="N62" s="14"/>
      <c r="O62" s="14"/>
      <c r="P62" s="14"/>
      <c r="Q62" s="14"/>
      <c r="R62" s="14"/>
      <c r="S62" s="14"/>
      <c r="T62" s="14"/>
      <c r="U62" s="14"/>
      <c r="V62" s="14"/>
      <c r="W62" s="14"/>
      <c r="X62" s="14"/>
      <c r="Y62" s="14"/>
    </row>
    <row r="63" spans="1:25" x14ac:dyDescent="0.25">
      <c r="C63" s="14"/>
      <c r="D63" s="14"/>
      <c r="E63" s="14"/>
      <c r="F63" s="14"/>
      <c r="G63" s="14"/>
      <c r="H63" s="14"/>
      <c r="I63" s="14"/>
      <c r="J63" s="14"/>
      <c r="K63" s="14"/>
      <c r="L63" s="14"/>
      <c r="M63" s="14"/>
      <c r="N63" s="14"/>
      <c r="O63" s="14"/>
      <c r="P63" s="14"/>
      <c r="Q63" s="14"/>
      <c r="R63" s="14"/>
      <c r="S63" s="14"/>
      <c r="T63" s="14"/>
      <c r="U63" s="14"/>
      <c r="V63" s="14"/>
      <c r="W63" s="14"/>
      <c r="X63" s="14"/>
      <c r="Y63" s="14"/>
    </row>
    <row r="64" spans="1:25" x14ac:dyDescent="0.25">
      <c r="C64" s="14"/>
      <c r="D64" s="14"/>
      <c r="E64" s="14"/>
      <c r="F64" s="14"/>
      <c r="G64" s="14"/>
      <c r="H64" s="14"/>
      <c r="I64" s="14"/>
      <c r="J64" s="14"/>
      <c r="K64" s="14"/>
      <c r="L64" s="14"/>
      <c r="M64" s="14"/>
      <c r="N64" s="14"/>
      <c r="O64" s="14"/>
      <c r="P64" s="14"/>
      <c r="Q64" s="14"/>
      <c r="R64" s="14"/>
      <c r="S64" s="14"/>
      <c r="T64" s="14"/>
      <c r="U64" s="14"/>
      <c r="V64" s="14"/>
      <c r="W64" s="14"/>
      <c r="X64" s="14"/>
      <c r="Y64" s="14"/>
    </row>
    <row r="65" spans="3:25" x14ac:dyDescent="0.25">
      <c r="C65" s="14"/>
      <c r="D65" s="14"/>
      <c r="E65" s="14"/>
      <c r="F65" s="14"/>
      <c r="G65" s="14"/>
      <c r="H65" s="14"/>
      <c r="I65" s="14"/>
      <c r="J65" s="14"/>
      <c r="K65" s="14"/>
      <c r="L65" s="14"/>
      <c r="M65" s="14"/>
      <c r="N65" s="14"/>
      <c r="O65" s="14"/>
      <c r="P65" s="14"/>
      <c r="Q65" s="14"/>
      <c r="R65" s="14"/>
      <c r="S65" s="14"/>
      <c r="T65" s="14"/>
      <c r="U65" s="14"/>
      <c r="V65" s="14"/>
      <c r="W65" s="14"/>
      <c r="X65" s="14"/>
      <c r="Y65" s="14"/>
    </row>
    <row r="66" spans="3:25" x14ac:dyDescent="0.25">
      <c r="C66" s="14"/>
      <c r="D66" s="14"/>
      <c r="E66" s="14"/>
      <c r="F66" s="14"/>
      <c r="G66" s="14"/>
      <c r="H66" s="14"/>
      <c r="I66" s="14"/>
      <c r="J66" s="14"/>
      <c r="K66" s="14"/>
      <c r="L66" s="14"/>
      <c r="M66" s="14"/>
      <c r="N66" s="14"/>
      <c r="O66" s="14"/>
      <c r="P66" s="14"/>
      <c r="Q66" s="14"/>
      <c r="R66" s="14"/>
      <c r="S66" s="14"/>
      <c r="T66" s="14"/>
      <c r="U66" s="14"/>
      <c r="V66" s="14"/>
      <c r="W66" s="14"/>
      <c r="X66" s="14"/>
      <c r="Y66" s="14"/>
    </row>
  </sheetData>
  <mergeCells count="1">
    <mergeCell ref="L5:V42"/>
  </mergeCells>
  <dataValidations count="1">
    <dataValidation type="list" allowBlank="1" showInputMessage="1" showErrorMessage="1" sqref="B6">
      <formula1>ProgramGoals</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showWhiteSpace="0" view="pageBreakPreview" zoomScale="85" zoomScaleNormal="70" zoomScaleSheetLayoutView="85" workbookViewId="0">
      <selection activeCell="J8" sqref="J8"/>
    </sheetView>
  </sheetViews>
  <sheetFormatPr defaultColWidth="9.140625" defaultRowHeight="12.75" x14ac:dyDescent="0.2"/>
  <cols>
    <col min="1" max="1" width="4.140625" style="29" customWidth="1"/>
    <col min="2" max="2" width="4" style="29" customWidth="1"/>
    <col min="3" max="3" width="31.140625" style="29" customWidth="1"/>
    <col min="4" max="6" width="40.5703125" style="29" customWidth="1"/>
    <col min="7" max="7" width="10.5703125" style="29" customWidth="1"/>
    <col min="8" max="8" width="4.140625" style="29" customWidth="1"/>
    <col min="9" max="16384" width="9.140625" style="29"/>
  </cols>
  <sheetData>
    <row r="1" spans="1:8" ht="25.5" customHeight="1" x14ac:dyDescent="0.25">
      <c r="A1" s="285" t="s">
        <v>346</v>
      </c>
      <c r="B1" s="285"/>
      <c r="C1" s="285"/>
      <c r="D1" s="286"/>
      <c r="E1" s="23" t="s">
        <v>77</v>
      </c>
      <c r="F1" s="23"/>
    </row>
    <row r="2" spans="1:8" ht="21" customHeight="1" x14ac:dyDescent="0.2">
      <c r="B2" s="411"/>
      <c r="C2" s="411"/>
      <c r="D2" s="22"/>
      <c r="E2" s="24" t="s">
        <v>78</v>
      </c>
      <c r="F2" s="39"/>
    </row>
    <row r="3" spans="1:8" ht="46.35" customHeight="1" thickBot="1" x14ac:dyDescent="0.25">
      <c r="B3" s="412"/>
      <c r="C3" s="412"/>
      <c r="D3" s="22"/>
      <c r="E3" s="419" t="s">
        <v>482</v>
      </c>
      <c r="F3" s="420"/>
    </row>
    <row r="4" spans="1:8" ht="38.25" customHeight="1" thickBot="1" x14ac:dyDescent="0.25">
      <c r="B4" s="413" t="s">
        <v>95</v>
      </c>
      <c r="C4" s="414"/>
      <c r="D4" s="204"/>
      <c r="E4" s="420"/>
      <c r="F4" s="420"/>
    </row>
    <row r="5" spans="1:8" ht="15.75" customHeight="1" thickBot="1" x14ac:dyDescent="0.25">
      <c r="B5" s="264"/>
      <c r="C5" s="264"/>
      <c r="D5" s="22"/>
      <c r="E5" s="421"/>
      <c r="F5" s="421"/>
    </row>
    <row r="6" spans="1:8" ht="25.5" customHeight="1" thickTop="1" x14ac:dyDescent="0.2">
      <c r="A6" s="415" t="s">
        <v>347</v>
      </c>
      <c r="B6" s="416"/>
      <c r="C6" s="416"/>
      <c r="D6" s="416"/>
      <c r="E6" s="416"/>
      <c r="F6" s="416"/>
      <c r="G6" s="417"/>
      <c r="H6" s="418"/>
    </row>
    <row r="7" spans="1:8" ht="15.75" customHeight="1" x14ac:dyDescent="0.2">
      <c r="A7" s="25"/>
      <c r="B7" s="402" t="s">
        <v>79</v>
      </c>
      <c r="C7" s="403"/>
      <c r="D7" s="406" t="s">
        <v>348</v>
      </c>
      <c r="E7" s="407"/>
      <c r="F7" s="408"/>
      <c r="G7" s="409" t="s">
        <v>148</v>
      </c>
      <c r="H7" s="26"/>
    </row>
    <row r="8" spans="1:8" ht="16.5" thickBot="1" x14ac:dyDescent="0.25">
      <c r="A8" s="25"/>
      <c r="B8" s="404"/>
      <c r="C8" s="405"/>
      <c r="D8" s="40" t="s">
        <v>145</v>
      </c>
      <c r="E8" s="40" t="s">
        <v>146</v>
      </c>
      <c r="F8" s="369" t="s">
        <v>147</v>
      </c>
      <c r="G8" s="410"/>
      <c r="H8" s="26"/>
    </row>
    <row r="9" spans="1:8" ht="55.5" customHeight="1" thickBot="1" x14ac:dyDescent="0.25">
      <c r="A9" s="30"/>
      <c r="B9" s="288">
        <v>1</v>
      </c>
      <c r="C9" s="41" t="s">
        <v>349</v>
      </c>
      <c r="D9" s="32" t="s">
        <v>350</v>
      </c>
      <c r="E9" s="32" t="s">
        <v>351</v>
      </c>
      <c r="F9" s="33" t="s">
        <v>162</v>
      </c>
      <c r="G9" s="34"/>
      <c r="H9" s="31"/>
    </row>
    <row r="10" spans="1:8" ht="59.45" customHeight="1" thickBot="1" x14ac:dyDescent="0.25">
      <c r="A10" s="30"/>
      <c r="B10" s="288">
        <v>2</v>
      </c>
      <c r="C10" s="41" t="s">
        <v>352</v>
      </c>
      <c r="D10" s="374" t="s">
        <v>438</v>
      </c>
      <c r="E10" s="374" t="s">
        <v>439</v>
      </c>
      <c r="F10" s="375" t="s">
        <v>440</v>
      </c>
      <c r="G10" s="42"/>
      <c r="H10" s="31"/>
    </row>
    <row r="11" spans="1:8" ht="89.45" customHeight="1" thickBot="1" x14ac:dyDescent="0.25">
      <c r="A11" s="30"/>
      <c r="B11" s="288">
        <v>3</v>
      </c>
      <c r="C11" s="41" t="s">
        <v>353</v>
      </c>
      <c r="D11" s="374" t="s">
        <v>474</v>
      </c>
      <c r="E11" s="374" t="s">
        <v>473</v>
      </c>
      <c r="F11" s="375" t="s">
        <v>475</v>
      </c>
      <c r="G11" s="34"/>
      <c r="H11" s="31"/>
    </row>
    <row r="12" spans="1:8" ht="53.25" customHeight="1" thickBot="1" x14ac:dyDescent="0.25">
      <c r="A12" s="30"/>
      <c r="B12" s="288">
        <v>4</v>
      </c>
      <c r="C12" s="41" t="s">
        <v>354</v>
      </c>
      <c r="D12" s="32" t="s">
        <v>407</v>
      </c>
      <c r="E12" s="32" t="s">
        <v>409</v>
      </c>
      <c r="F12" s="33" t="s">
        <v>408</v>
      </c>
      <c r="G12" s="42"/>
      <c r="H12" s="31"/>
    </row>
    <row r="13" spans="1:8" ht="109.7" customHeight="1" thickBot="1" x14ac:dyDescent="0.25">
      <c r="A13" s="30"/>
      <c r="B13" s="288">
        <v>5</v>
      </c>
      <c r="C13" s="41" t="s">
        <v>405</v>
      </c>
      <c r="D13" s="32" t="s">
        <v>355</v>
      </c>
      <c r="E13" s="32" t="s">
        <v>356</v>
      </c>
      <c r="F13" s="33" t="s">
        <v>357</v>
      </c>
      <c r="G13" s="34"/>
      <c r="H13" s="31"/>
    </row>
    <row r="14" spans="1:8" ht="39" thickBot="1" x14ac:dyDescent="0.25">
      <c r="A14" s="30"/>
      <c r="B14" s="367">
        <v>6</v>
      </c>
      <c r="C14" s="287" t="s">
        <v>358</v>
      </c>
      <c r="D14" s="370" t="s">
        <v>412</v>
      </c>
      <c r="E14" s="370" t="s">
        <v>413</v>
      </c>
      <c r="F14" s="370" t="s">
        <v>414</v>
      </c>
      <c r="G14" s="43"/>
      <c r="H14" s="31"/>
    </row>
    <row r="15" spans="1:8" ht="51.75" thickBot="1" x14ac:dyDescent="0.25">
      <c r="A15" s="30"/>
      <c r="B15" s="288">
        <v>7</v>
      </c>
      <c r="C15" s="41" t="s">
        <v>418</v>
      </c>
      <c r="D15" s="370" t="s">
        <v>359</v>
      </c>
      <c r="E15" s="370" t="s">
        <v>360</v>
      </c>
      <c r="F15" s="371" t="s">
        <v>361</v>
      </c>
      <c r="G15" s="44"/>
      <c r="H15" s="31"/>
    </row>
    <row r="16" spans="1:8" ht="39" thickBot="1" x14ac:dyDescent="0.25">
      <c r="A16" s="30"/>
      <c r="B16" s="288">
        <v>8</v>
      </c>
      <c r="C16" s="41" t="s">
        <v>441</v>
      </c>
      <c r="D16" s="372" t="s">
        <v>362</v>
      </c>
      <c r="E16" s="372" t="s">
        <v>363</v>
      </c>
      <c r="F16" s="373" t="s">
        <v>364</v>
      </c>
      <c r="G16" s="44"/>
      <c r="H16" s="31"/>
    </row>
    <row r="17" spans="1:8" s="35" customFormat="1" ht="51.75" thickBot="1" x14ac:dyDescent="0.25">
      <c r="A17" s="30"/>
      <c r="B17" s="288">
        <v>9</v>
      </c>
      <c r="C17" s="41" t="s">
        <v>101</v>
      </c>
      <c r="D17" s="372" t="s">
        <v>365</v>
      </c>
      <c r="E17" s="372" t="s">
        <v>415</v>
      </c>
      <c r="F17" s="373" t="s">
        <v>366</v>
      </c>
      <c r="G17" s="44"/>
      <c r="H17" s="31"/>
    </row>
    <row r="18" spans="1:8" ht="39" thickBot="1" x14ac:dyDescent="0.25">
      <c r="A18" s="30"/>
      <c r="B18" s="288">
        <v>10</v>
      </c>
      <c r="C18" s="41" t="s">
        <v>367</v>
      </c>
      <c r="D18" s="372" t="s">
        <v>368</v>
      </c>
      <c r="E18" s="372" t="s">
        <v>369</v>
      </c>
      <c r="F18" s="372" t="s">
        <v>370</v>
      </c>
      <c r="G18" s="34"/>
      <c r="H18" s="31"/>
    </row>
    <row r="19" spans="1:8" ht="51.75" thickBot="1" x14ac:dyDescent="0.25">
      <c r="A19" s="30"/>
      <c r="B19" s="367">
        <v>11</v>
      </c>
      <c r="C19" s="287" t="s">
        <v>406</v>
      </c>
      <c r="D19" s="370" t="s">
        <v>371</v>
      </c>
      <c r="E19" s="370" t="s">
        <v>372</v>
      </c>
      <c r="F19" s="371" t="s">
        <v>373</v>
      </c>
      <c r="G19" s="42"/>
      <c r="H19" s="31"/>
    </row>
    <row r="20" spans="1:8" ht="39.6" customHeight="1" thickBot="1" x14ac:dyDescent="0.25">
      <c r="A20" s="30"/>
      <c r="B20" s="288">
        <v>12</v>
      </c>
      <c r="C20" s="41" t="s">
        <v>100</v>
      </c>
      <c r="D20" s="372" t="s">
        <v>416</v>
      </c>
      <c r="E20" s="372" t="s">
        <v>374</v>
      </c>
      <c r="F20" s="373" t="s">
        <v>417</v>
      </c>
      <c r="G20" s="42"/>
      <c r="H20" s="31"/>
    </row>
    <row r="21" spans="1:8" ht="43.5" customHeight="1" thickBot="1" x14ac:dyDescent="0.25">
      <c r="A21" s="30"/>
      <c r="B21" s="288">
        <v>13</v>
      </c>
      <c r="C21" s="287" t="s">
        <v>83</v>
      </c>
      <c r="D21" s="51"/>
      <c r="E21" s="51"/>
      <c r="F21" s="51"/>
      <c r="G21" s="42"/>
      <c r="H21" s="31"/>
    </row>
    <row r="22" spans="1:8" ht="15" thickBot="1" x14ac:dyDescent="0.25">
      <c r="A22" s="36"/>
      <c r="B22" s="27"/>
      <c r="C22" s="37"/>
      <c r="D22" s="37"/>
      <c r="E22" s="37"/>
      <c r="F22" s="37"/>
      <c r="G22" s="37"/>
      <c r="H22" s="38"/>
    </row>
    <row r="23" spans="1:8" ht="13.5" thickTop="1" x14ac:dyDescent="0.2"/>
  </sheetData>
  <mergeCells count="8">
    <mergeCell ref="B7:C8"/>
    <mergeCell ref="D7:F7"/>
    <mergeCell ref="G7:G8"/>
    <mergeCell ref="B2:C2"/>
    <mergeCell ref="B3:C3"/>
    <mergeCell ref="B4:C4"/>
    <mergeCell ref="A6:H6"/>
    <mergeCell ref="E3:F5"/>
  </mergeCells>
  <dataValidations count="1">
    <dataValidation type="list" allowBlank="1" showInputMessage="1" showErrorMessage="1" sqref="D4">
      <formula1>CatchmentAssessment</formula1>
    </dataValidation>
  </dataValidations>
  <printOptions horizontalCentered="1" verticalCentered="1"/>
  <pageMargins left="0.95" right="0.95" top="0.5" bottom="0.5" header="0.3" footer="0.3"/>
  <pageSetup scale="59" orientation="landscape" r:id="rId1"/>
  <headerFooter>
    <oddFooter>&amp;L&amp;12Version 2.0&amp;C&amp;12Catchment Assessment Form &amp;P of &amp;N&amp;R12-28-2016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view="pageBreakPreview" zoomScaleNormal="100" zoomScaleSheetLayoutView="100" workbookViewId="0">
      <selection activeCell="E33" sqref="E33:E36"/>
    </sheetView>
  </sheetViews>
  <sheetFormatPr defaultColWidth="8.85546875" defaultRowHeight="15" x14ac:dyDescent="0.25"/>
  <cols>
    <col min="1" max="1" width="18.5703125" style="14" customWidth="1"/>
    <col min="2" max="2" width="18.140625" style="14" customWidth="1"/>
    <col min="3" max="3" width="43" style="14" customWidth="1"/>
    <col min="4" max="4" width="39.140625" style="14" customWidth="1"/>
    <col min="5" max="5" width="43" style="14" customWidth="1"/>
    <col min="6" max="16384" width="8.85546875" style="14"/>
  </cols>
  <sheetData>
    <row r="1" spans="1:5" ht="18.75" x14ac:dyDescent="0.3">
      <c r="A1" s="377" t="s">
        <v>442</v>
      </c>
    </row>
    <row r="2" spans="1:5" x14ac:dyDescent="0.25">
      <c r="A2" s="14" t="s">
        <v>444</v>
      </c>
    </row>
    <row r="3" spans="1:5" x14ac:dyDescent="0.25">
      <c r="A3" s="14" t="s">
        <v>443</v>
      </c>
    </row>
    <row r="4" spans="1:5" x14ac:dyDescent="0.25">
      <c r="A4" s="14" t="s">
        <v>445</v>
      </c>
    </row>
    <row r="6" spans="1:5" ht="30" x14ac:dyDescent="0.25">
      <c r="A6" s="388" t="s">
        <v>1</v>
      </c>
      <c r="B6" s="388" t="s">
        <v>2</v>
      </c>
      <c r="C6" s="388" t="s">
        <v>453</v>
      </c>
      <c r="D6" s="388" t="s">
        <v>3</v>
      </c>
      <c r="E6" s="388" t="s">
        <v>453</v>
      </c>
    </row>
    <row r="7" spans="1:5" ht="45" x14ac:dyDescent="0.25">
      <c r="A7" s="425" t="s">
        <v>68</v>
      </c>
      <c r="B7" s="386" t="s">
        <v>99</v>
      </c>
      <c r="C7" s="378" t="s">
        <v>463</v>
      </c>
      <c r="D7" s="389" t="s">
        <v>421</v>
      </c>
      <c r="E7" s="387" t="s">
        <v>458</v>
      </c>
    </row>
    <row r="8" spans="1:5" ht="14.45" customHeight="1" x14ac:dyDescent="0.25">
      <c r="A8" s="426"/>
      <c r="B8" s="428" t="s">
        <v>154</v>
      </c>
      <c r="C8" s="428" t="s">
        <v>460</v>
      </c>
      <c r="D8" s="390" t="s">
        <v>202</v>
      </c>
      <c r="E8" s="387" t="s">
        <v>460</v>
      </c>
    </row>
    <row r="9" spans="1:5" x14ac:dyDescent="0.25">
      <c r="A9" s="426"/>
      <c r="B9" s="429"/>
      <c r="C9" s="429"/>
      <c r="D9" s="389" t="s">
        <v>155</v>
      </c>
      <c r="E9" s="387" t="s">
        <v>460</v>
      </c>
    </row>
    <row r="10" spans="1:5" x14ac:dyDescent="0.25">
      <c r="A10" s="426"/>
      <c r="B10" s="429"/>
      <c r="C10" s="429"/>
      <c r="D10" s="390" t="s">
        <v>429</v>
      </c>
      <c r="E10" s="428" t="s">
        <v>459</v>
      </c>
    </row>
    <row r="11" spans="1:5" x14ac:dyDescent="0.25">
      <c r="A11" s="427"/>
      <c r="B11" s="430"/>
      <c r="C11" s="430"/>
      <c r="D11" s="391" t="s">
        <v>391</v>
      </c>
      <c r="E11" s="430"/>
    </row>
    <row r="12" spans="1:5" ht="14.45" customHeight="1" x14ac:dyDescent="0.25">
      <c r="A12" s="431" t="s">
        <v>6</v>
      </c>
      <c r="B12" s="433" t="s">
        <v>7</v>
      </c>
      <c r="C12" s="441" t="s">
        <v>460</v>
      </c>
      <c r="D12" s="392" t="s">
        <v>8</v>
      </c>
      <c r="E12" s="393" t="s">
        <v>460</v>
      </c>
    </row>
    <row r="13" spans="1:5" x14ac:dyDescent="0.25">
      <c r="A13" s="432"/>
      <c r="B13" s="434"/>
      <c r="C13" s="442"/>
      <c r="D13" s="392" t="s">
        <v>9</v>
      </c>
      <c r="E13" s="393" t="s">
        <v>460</v>
      </c>
    </row>
    <row r="14" spans="1:5" x14ac:dyDescent="0.25">
      <c r="A14" s="422" t="s">
        <v>27</v>
      </c>
      <c r="B14" s="422" t="s">
        <v>28</v>
      </c>
      <c r="C14" s="422" t="s">
        <v>464</v>
      </c>
      <c r="D14" s="381" t="s">
        <v>472</v>
      </c>
      <c r="E14" s="379" t="s">
        <v>460</v>
      </c>
    </row>
    <row r="15" spans="1:5" ht="30" x14ac:dyDescent="0.25">
      <c r="A15" s="423"/>
      <c r="B15" s="424"/>
      <c r="C15" s="424"/>
      <c r="D15" s="381" t="s">
        <v>394</v>
      </c>
      <c r="E15" s="379" t="s">
        <v>455</v>
      </c>
    </row>
    <row r="16" spans="1:5" x14ac:dyDescent="0.25">
      <c r="A16" s="423"/>
      <c r="B16" s="422" t="s">
        <v>51</v>
      </c>
      <c r="C16" s="422" t="s">
        <v>460</v>
      </c>
      <c r="D16" s="381" t="s">
        <v>92</v>
      </c>
      <c r="E16" s="422" t="s">
        <v>461</v>
      </c>
    </row>
    <row r="17" spans="1:5" x14ac:dyDescent="0.25">
      <c r="A17" s="423"/>
      <c r="B17" s="423"/>
      <c r="C17" s="423"/>
      <c r="D17" s="381" t="s">
        <v>52</v>
      </c>
      <c r="E17" s="424"/>
    </row>
    <row r="18" spans="1:5" x14ac:dyDescent="0.25">
      <c r="A18" s="423"/>
      <c r="B18" s="424"/>
      <c r="C18" s="424"/>
      <c r="D18" s="381" t="s">
        <v>102</v>
      </c>
      <c r="E18" s="379" t="s">
        <v>460</v>
      </c>
    </row>
    <row r="19" spans="1:5" x14ac:dyDescent="0.25">
      <c r="A19" s="423"/>
      <c r="B19" s="422" t="s">
        <v>53</v>
      </c>
      <c r="C19" s="422" t="s">
        <v>460</v>
      </c>
      <c r="D19" s="381" t="s">
        <v>446</v>
      </c>
      <c r="E19" s="379" t="s">
        <v>460</v>
      </c>
    </row>
    <row r="20" spans="1:5" x14ac:dyDescent="0.25">
      <c r="A20" s="423"/>
      <c r="B20" s="423"/>
      <c r="C20" s="423"/>
      <c r="D20" s="381" t="s">
        <v>448</v>
      </c>
      <c r="E20" s="379" t="s">
        <v>460</v>
      </c>
    </row>
    <row r="21" spans="1:5" x14ac:dyDescent="0.25">
      <c r="A21" s="423"/>
      <c r="B21" s="423"/>
      <c r="C21" s="423"/>
      <c r="D21" s="381" t="s">
        <v>447</v>
      </c>
      <c r="E21" s="422" t="s">
        <v>461</v>
      </c>
    </row>
    <row r="22" spans="1:5" x14ac:dyDescent="0.25">
      <c r="A22" s="423"/>
      <c r="B22" s="424"/>
      <c r="C22" s="424"/>
      <c r="D22" s="381" t="s">
        <v>449</v>
      </c>
      <c r="E22" s="424"/>
    </row>
    <row r="23" spans="1:5" ht="30" x14ac:dyDescent="0.25">
      <c r="A23" s="423"/>
      <c r="B23" s="379" t="s">
        <v>130</v>
      </c>
      <c r="C23" s="379" t="s">
        <v>454</v>
      </c>
      <c r="D23" s="381" t="s">
        <v>168</v>
      </c>
      <c r="E23" s="379" t="s">
        <v>458</v>
      </c>
    </row>
    <row r="24" spans="1:5" x14ac:dyDescent="0.25">
      <c r="A24" s="423"/>
      <c r="B24" s="422" t="s">
        <v>450</v>
      </c>
      <c r="C24" s="422" t="s">
        <v>460</v>
      </c>
      <c r="D24" s="381" t="s">
        <v>451</v>
      </c>
      <c r="E24" s="379" t="s">
        <v>460</v>
      </c>
    </row>
    <row r="25" spans="1:5" x14ac:dyDescent="0.25">
      <c r="A25" s="423"/>
      <c r="B25" s="423"/>
      <c r="C25" s="423"/>
      <c r="D25" s="381" t="s">
        <v>56</v>
      </c>
      <c r="E25" s="379" t="s">
        <v>460</v>
      </c>
    </row>
    <row r="26" spans="1:5" x14ac:dyDescent="0.25">
      <c r="A26" s="423"/>
      <c r="B26" s="423"/>
      <c r="C26" s="423"/>
      <c r="D26" s="381" t="s">
        <v>423</v>
      </c>
      <c r="E26" s="379" t="s">
        <v>460</v>
      </c>
    </row>
    <row r="27" spans="1:5" ht="30" x14ac:dyDescent="0.25">
      <c r="A27" s="423"/>
      <c r="B27" s="424"/>
      <c r="C27" s="424"/>
      <c r="D27" s="381" t="s">
        <v>254</v>
      </c>
      <c r="E27" s="379" t="s">
        <v>456</v>
      </c>
    </row>
    <row r="28" spans="1:5" x14ac:dyDescent="0.25">
      <c r="A28" s="424"/>
      <c r="B28" s="379" t="s">
        <v>58</v>
      </c>
      <c r="C28" s="381" t="s">
        <v>460</v>
      </c>
      <c r="D28" s="381" t="s">
        <v>57</v>
      </c>
      <c r="E28" s="379" t="s">
        <v>460</v>
      </c>
    </row>
    <row r="29" spans="1:5" ht="45" x14ac:dyDescent="0.25">
      <c r="A29" s="435" t="s">
        <v>61</v>
      </c>
      <c r="B29" s="394" t="s">
        <v>103</v>
      </c>
      <c r="C29" s="385" t="s">
        <v>462</v>
      </c>
      <c r="D29" s="384" t="s">
        <v>452</v>
      </c>
      <c r="E29" s="395" t="s">
        <v>458</v>
      </c>
    </row>
    <row r="30" spans="1:5" ht="81.599999999999994" customHeight="1" x14ac:dyDescent="0.25">
      <c r="A30" s="436"/>
      <c r="B30" s="394" t="s">
        <v>476</v>
      </c>
      <c r="C30" s="385" t="s">
        <v>465</v>
      </c>
      <c r="D30" s="384" t="s">
        <v>457</v>
      </c>
      <c r="E30" s="395" t="s">
        <v>458</v>
      </c>
    </row>
    <row r="31" spans="1:5" ht="45" x14ac:dyDescent="0.25">
      <c r="A31" s="436"/>
      <c r="B31" s="385" t="s">
        <v>93</v>
      </c>
      <c r="C31" s="385" t="s">
        <v>466</v>
      </c>
      <c r="D31" s="396" t="s">
        <v>326</v>
      </c>
      <c r="E31" s="395" t="s">
        <v>458</v>
      </c>
    </row>
    <row r="32" spans="1:5" ht="45" x14ac:dyDescent="0.25">
      <c r="A32" s="437"/>
      <c r="B32" s="385" t="s">
        <v>94</v>
      </c>
      <c r="C32" s="385" t="s">
        <v>466</v>
      </c>
      <c r="D32" s="397" t="s">
        <v>325</v>
      </c>
      <c r="E32" s="395" t="s">
        <v>458</v>
      </c>
    </row>
    <row r="33" spans="1:5" x14ac:dyDescent="0.25">
      <c r="A33" s="438" t="s">
        <v>62</v>
      </c>
      <c r="B33" s="438" t="s">
        <v>432</v>
      </c>
      <c r="C33" s="438" t="s">
        <v>468</v>
      </c>
      <c r="D33" s="382" t="s">
        <v>471</v>
      </c>
      <c r="E33" s="438" t="s">
        <v>470</v>
      </c>
    </row>
    <row r="34" spans="1:5" x14ac:dyDescent="0.25">
      <c r="A34" s="439"/>
      <c r="B34" s="439"/>
      <c r="C34" s="439"/>
      <c r="D34" s="383" t="s">
        <v>424</v>
      </c>
      <c r="E34" s="439"/>
    </row>
    <row r="35" spans="1:5" x14ac:dyDescent="0.25">
      <c r="A35" s="439"/>
      <c r="B35" s="439"/>
      <c r="C35" s="439"/>
      <c r="D35" s="383" t="s">
        <v>428</v>
      </c>
      <c r="E35" s="439"/>
    </row>
    <row r="36" spans="1:5" ht="30" x14ac:dyDescent="0.25">
      <c r="A36" s="439"/>
      <c r="B36" s="440"/>
      <c r="C36" s="440"/>
      <c r="D36" s="380" t="s">
        <v>425</v>
      </c>
      <c r="E36" s="440"/>
    </row>
    <row r="37" spans="1:5" x14ac:dyDescent="0.25">
      <c r="A37" s="439"/>
      <c r="B37" s="438" t="s">
        <v>86</v>
      </c>
      <c r="C37" s="438" t="s">
        <v>469</v>
      </c>
      <c r="D37" s="398" t="s">
        <v>255</v>
      </c>
      <c r="E37" s="438" t="s">
        <v>467</v>
      </c>
    </row>
    <row r="38" spans="1:5" x14ac:dyDescent="0.25">
      <c r="A38" s="440"/>
      <c r="B38" s="440"/>
      <c r="C38" s="440"/>
      <c r="D38" s="398" t="s">
        <v>420</v>
      </c>
      <c r="E38" s="440"/>
    </row>
  </sheetData>
  <mergeCells count="26">
    <mergeCell ref="E37:E38"/>
    <mergeCell ref="E33:E36"/>
    <mergeCell ref="E21:E22"/>
    <mergeCell ref="E16:E17"/>
    <mergeCell ref="E10:E11"/>
    <mergeCell ref="A29:A32"/>
    <mergeCell ref="A33:A38"/>
    <mergeCell ref="B33:B36"/>
    <mergeCell ref="B37:B38"/>
    <mergeCell ref="C8:C11"/>
    <mergeCell ref="C12:C13"/>
    <mergeCell ref="C14:C15"/>
    <mergeCell ref="C16:C18"/>
    <mergeCell ref="C19:C22"/>
    <mergeCell ref="C24:C27"/>
    <mergeCell ref="C33:C36"/>
    <mergeCell ref="C37:C38"/>
    <mergeCell ref="A14:A28"/>
    <mergeCell ref="B14:B15"/>
    <mergeCell ref="B16:B18"/>
    <mergeCell ref="B19:B22"/>
    <mergeCell ref="B24:B27"/>
    <mergeCell ref="A7:A11"/>
    <mergeCell ref="B8:B11"/>
    <mergeCell ref="A12:A13"/>
    <mergeCell ref="B12:B13"/>
  </mergeCells>
  <conditionalFormatting sqref="D31">
    <cfRule type="beginsWith" dxfId="1737" priority="25" stopIfTrue="1" operator="beginsWith" text="Functioning At Risk">
      <formula>LEFT(D31,LEN("Functioning At Risk"))="Functioning At Risk"</formula>
    </cfRule>
    <cfRule type="beginsWith" dxfId="1736" priority="26" stopIfTrue="1" operator="beginsWith" text="Not Functioning">
      <formula>LEFT(D31,LEN("Not Functioning"))="Not Functioning"</formula>
    </cfRule>
    <cfRule type="containsText" dxfId="1735" priority="27" operator="containsText" text="Functioning">
      <formula>NOT(ISERROR(SEARCH("Functioning",D31)))</formula>
    </cfRule>
  </conditionalFormatting>
  <conditionalFormatting sqref="A6:B6 D6:E6">
    <cfRule type="beginsWith" dxfId="1734" priority="13" stopIfTrue="1" operator="beginsWith" text="Functioning At Risk">
      <formula>LEFT(A6,LEN("Functioning At Risk"))="Functioning At Risk"</formula>
    </cfRule>
    <cfRule type="beginsWith" dxfId="1733" priority="14" stopIfTrue="1" operator="beginsWith" text="Not Functioning">
      <formula>LEFT(A6,LEN("Not Functioning"))="Not Functioning"</formula>
    </cfRule>
    <cfRule type="containsText" dxfId="1732" priority="15" operator="containsText" text="Functioning">
      <formula>NOT(ISERROR(SEARCH("Functioning",A6)))</formula>
    </cfRule>
  </conditionalFormatting>
  <conditionalFormatting sqref="A12:B12 D12:D13">
    <cfRule type="beginsWith" dxfId="1731" priority="22" stopIfTrue="1" operator="beginsWith" text="Functioning At Risk">
      <formula>LEFT(A12,LEN("Functioning At Risk"))="Functioning At Risk"</formula>
    </cfRule>
    <cfRule type="beginsWith" dxfId="1730" priority="23" stopIfTrue="1" operator="beginsWith" text="Not Functioning">
      <formula>LEFT(A12,LEN("Not Functioning"))="Not Functioning"</formula>
    </cfRule>
    <cfRule type="containsText" dxfId="1729" priority="24" operator="containsText" text="Functioning">
      <formula>NOT(ISERROR(SEARCH("Functioning",A12)))</formula>
    </cfRule>
  </conditionalFormatting>
  <conditionalFormatting sqref="E12:E13">
    <cfRule type="beginsWith" dxfId="1728" priority="16" stopIfTrue="1" operator="beginsWith" text="Functioning At Risk">
      <formula>LEFT(E12,LEN("Functioning At Risk"))="Functioning At Risk"</formula>
    </cfRule>
    <cfRule type="beginsWith" dxfId="1727" priority="17" stopIfTrue="1" operator="beginsWith" text="Not Functioning">
      <formula>LEFT(E12,LEN("Not Functioning"))="Not Functioning"</formula>
    </cfRule>
    <cfRule type="containsText" dxfId="1726" priority="18" operator="containsText" text="Functioning">
      <formula>NOT(ISERROR(SEARCH("Functioning",E12)))</formula>
    </cfRule>
  </conditionalFormatting>
  <pageMargins left="0.7" right="0.7" top="0.75" bottom="0.75" header="0.3" footer="0.3"/>
  <pageSetup paperSize="3" scale="93" fitToWidth="0" orientation="landscape" r:id="rId1"/>
  <headerFooter>
    <oddHeader>&amp;CTN SQT Parameter Selection Guide</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18"/>
  <sheetViews>
    <sheetView showGridLines="0" zoomScale="85" zoomScaleNormal="85" zoomScaleSheetLayoutView="100" zoomScalePageLayoutView="55" workbookViewId="0">
      <selection activeCell="B9" sqref="B9"/>
    </sheetView>
  </sheetViews>
  <sheetFormatPr defaultRowHeight="15" x14ac:dyDescent="0.25"/>
  <cols>
    <col min="1" max="1" width="30" customWidth="1"/>
    <col min="2" max="2" width="30.85546875" customWidth="1"/>
    <col min="3" max="3" width="24" customWidth="1"/>
    <col min="4" max="4" width="24" style="14" customWidth="1"/>
    <col min="5" max="5" width="21.5703125" customWidth="1"/>
    <col min="6" max="6" width="14" customWidth="1"/>
    <col min="7" max="7" width="14" style="14" customWidth="1"/>
    <col min="8" max="8" width="14" customWidth="1"/>
    <col min="9" max="9" width="16.85546875" style="14" customWidth="1"/>
    <col min="10" max="10" width="14" customWidth="1"/>
    <col min="11" max="11" width="16.85546875" customWidth="1"/>
    <col min="12" max="12" width="18.5703125" customWidth="1"/>
    <col min="13" max="13" width="13.5703125" customWidth="1"/>
  </cols>
  <sheetData>
    <row r="1" spans="1:11" ht="21" x14ac:dyDescent="0.35">
      <c r="A1" s="456" t="s">
        <v>249</v>
      </c>
      <c r="B1" s="457"/>
      <c r="D1" s="450" t="s">
        <v>72</v>
      </c>
      <c r="E1" s="451"/>
      <c r="F1" s="451"/>
      <c r="G1" s="451"/>
      <c r="H1" s="451"/>
      <c r="I1" s="451"/>
      <c r="J1" s="452"/>
    </row>
    <row r="2" spans="1:11" s="14" customFormat="1" ht="15.75" x14ac:dyDescent="0.25">
      <c r="A2" s="458"/>
      <c r="B2" s="459"/>
      <c r="D2" s="443" t="s">
        <v>73</v>
      </c>
      <c r="E2" s="444"/>
      <c r="F2" s="444"/>
      <c r="G2" s="444"/>
      <c r="H2" s="444"/>
      <c r="I2" s="444"/>
      <c r="J2" s="445"/>
    </row>
    <row r="3" spans="1:11" ht="15.75" x14ac:dyDescent="0.25">
      <c r="A3" s="52" t="s">
        <v>131</v>
      </c>
      <c r="B3" s="53"/>
      <c r="D3" s="446" t="s">
        <v>176</v>
      </c>
      <c r="E3" s="447"/>
      <c r="F3" s="447"/>
      <c r="G3" s="447"/>
      <c r="H3" s="447"/>
      <c r="I3" s="447"/>
      <c r="J3" s="448"/>
    </row>
    <row r="4" spans="1:11" s="14" customFormat="1" ht="15.75" x14ac:dyDescent="0.25">
      <c r="A4" s="52" t="s">
        <v>116</v>
      </c>
      <c r="B4" s="53"/>
      <c r="D4" s="467" t="s">
        <v>175</v>
      </c>
      <c r="E4" s="468"/>
      <c r="F4" s="468"/>
      <c r="G4" s="468"/>
      <c r="H4" s="468"/>
      <c r="I4" s="468"/>
      <c r="J4" s="469"/>
    </row>
    <row r="5" spans="1:11" s="14" customFormat="1" ht="15.75" x14ac:dyDescent="0.25">
      <c r="A5" s="52" t="s">
        <v>118</v>
      </c>
      <c r="B5" s="201"/>
      <c r="C5" s="13"/>
    </row>
    <row r="6" spans="1:11" s="14" customFormat="1" ht="19.7" customHeight="1" x14ac:dyDescent="0.35">
      <c r="A6" s="52" t="s">
        <v>410</v>
      </c>
      <c r="B6" s="201"/>
      <c r="C6" s="13"/>
      <c r="D6" s="450" t="s">
        <v>71</v>
      </c>
      <c r="E6" s="451"/>
      <c r="F6" s="452"/>
      <c r="H6" s="137"/>
      <c r="I6" s="137"/>
      <c r="J6" s="137"/>
      <c r="K6" s="137"/>
    </row>
    <row r="7" spans="1:11" ht="21" x14ac:dyDescent="0.35">
      <c r="A7" s="52" t="s">
        <v>477</v>
      </c>
      <c r="B7" s="201"/>
      <c r="C7" s="49"/>
      <c r="D7" s="106" t="s">
        <v>139</v>
      </c>
      <c r="E7" s="107"/>
      <c r="F7" s="55" t="str">
        <f>IFERROR(ROUND(J42,2),"")</f>
        <v/>
      </c>
      <c r="G7" s="137"/>
      <c r="H7" s="222"/>
      <c r="I7" s="21"/>
      <c r="J7" s="21"/>
      <c r="K7" s="223"/>
    </row>
    <row r="8" spans="1:11" s="14" customFormat="1" ht="15.75" x14ac:dyDescent="0.25">
      <c r="A8" s="52" t="s">
        <v>17</v>
      </c>
      <c r="B8" s="53"/>
      <c r="C8" s="49"/>
      <c r="D8" s="108" t="s">
        <v>140</v>
      </c>
      <c r="E8" s="109"/>
      <c r="F8" s="55" t="str">
        <f>IFERROR(ROUND(J82,2),"")</f>
        <v/>
      </c>
      <c r="G8" s="140"/>
      <c r="H8" s="222"/>
      <c r="I8" s="21"/>
      <c r="J8" s="21"/>
      <c r="K8" s="223"/>
    </row>
    <row r="9" spans="1:11" s="14" customFormat="1" ht="15.75" x14ac:dyDescent="0.25">
      <c r="A9" s="52" t="s">
        <v>98</v>
      </c>
      <c r="B9" s="201"/>
      <c r="C9" s="49"/>
      <c r="D9" s="106" t="s">
        <v>63</v>
      </c>
      <c r="E9" s="114"/>
      <c r="F9" s="135" t="str">
        <f>IFERROR(F8-F7,"")</f>
        <v/>
      </c>
      <c r="G9" s="140"/>
      <c r="H9" s="222"/>
      <c r="I9" s="21"/>
      <c r="J9" s="21"/>
      <c r="K9" s="223"/>
    </row>
    <row r="10" spans="1:11" ht="15.75" x14ac:dyDescent="0.25">
      <c r="A10" s="52" t="s">
        <v>433</v>
      </c>
      <c r="B10" s="53"/>
      <c r="C10" s="50"/>
      <c r="D10" s="110" t="s">
        <v>132</v>
      </c>
      <c r="E10" s="111"/>
      <c r="F10" s="115" t="str">
        <f>IFERROR(F9/F7,"")</f>
        <v/>
      </c>
      <c r="G10" s="141"/>
      <c r="H10" s="224"/>
      <c r="I10" s="224"/>
      <c r="J10" s="224"/>
      <c r="K10" s="225"/>
    </row>
    <row r="11" spans="1:11" s="14" customFormat="1" ht="15.75" x14ac:dyDescent="0.25">
      <c r="A11" s="52" t="s">
        <v>434</v>
      </c>
      <c r="B11" s="53"/>
      <c r="C11" s="49"/>
      <c r="D11" s="106" t="s">
        <v>435</v>
      </c>
      <c r="E11" s="107"/>
      <c r="F11" s="56" t="str">
        <f>IF(B10="","",B10)</f>
        <v/>
      </c>
      <c r="G11" s="140"/>
      <c r="H11" s="21"/>
      <c r="I11" s="21"/>
      <c r="J11" s="21"/>
      <c r="K11" s="21"/>
    </row>
    <row r="12" spans="1:11" ht="15.75" x14ac:dyDescent="0.25">
      <c r="A12" s="52" t="s">
        <v>251</v>
      </c>
      <c r="B12" s="53"/>
      <c r="C12" s="50"/>
      <c r="D12" s="106" t="s">
        <v>436</v>
      </c>
      <c r="E12" s="107"/>
      <c r="F12" s="56" t="str">
        <f>IF(B11="","",B11)</f>
        <v/>
      </c>
      <c r="G12" s="140"/>
      <c r="H12" s="21"/>
      <c r="I12" s="21"/>
      <c r="J12" s="21"/>
      <c r="K12" s="21"/>
    </row>
    <row r="13" spans="1:11" s="14" customFormat="1" ht="16.350000000000001" customHeight="1" x14ac:dyDescent="0.35">
      <c r="A13" s="52" t="s">
        <v>252</v>
      </c>
      <c r="B13" s="201"/>
      <c r="C13" s="50"/>
      <c r="D13" s="98" t="s">
        <v>437</v>
      </c>
      <c r="E13" s="99"/>
      <c r="F13" s="56" t="str">
        <f>IFERROR(F12-F11,"")</f>
        <v/>
      </c>
      <c r="G13" s="140"/>
      <c r="H13" s="137"/>
      <c r="I13" s="137"/>
      <c r="J13" s="137"/>
      <c r="K13" s="137"/>
    </row>
    <row r="14" spans="1:11" ht="15.75" x14ac:dyDescent="0.25">
      <c r="A14" s="54" t="s">
        <v>144</v>
      </c>
      <c r="B14" s="201"/>
      <c r="C14" s="49"/>
      <c r="D14" s="98" t="s">
        <v>141</v>
      </c>
      <c r="E14" s="99"/>
      <c r="F14" s="57" t="str">
        <f>IFERROR(F7*F11,"")</f>
        <v/>
      </c>
      <c r="G14" s="139"/>
      <c r="H14" s="222"/>
      <c r="I14" s="21"/>
      <c r="J14" s="21"/>
      <c r="K14" s="223"/>
    </row>
    <row r="15" spans="1:11" ht="15.75" x14ac:dyDescent="0.25">
      <c r="A15" s="227" t="s">
        <v>227</v>
      </c>
      <c r="B15" s="201"/>
      <c r="C15" s="50"/>
      <c r="D15" s="112" t="s">
        <v>142</v>
      </c>
      <c r="E15" s="113"/>
      <c r="F15" s="57" t="str">
        <f>IFERROR(F12*F8,"")</f>
        <v/>
      </c>
      <c r="G15" s="139"/>
      <c r="H15" s="222"/>
      <c r="I15" s="21"/>
      <c r="J15" s="21"/>
      <c r="K15" s="223"/>
    </row>
    <row r="16" spans="1:11" s="14" customFormat="1" ht="15.75" x14ac:dyDescent="0.25">
      <c r="A16" s="54" t="s">
        <v>161</v>
      </c>
      <c r="B16" s="201"/>
      <c r="C16" s="50"/>
      <c r="D16" s="108" t="s">
        <v>117</v>
      </c>
      <c r="E16" s="138"/>
      <c r="F16" s="136" t="str">
        <f>IFERROR(F15-F14,"")</f>
        <v/>
      </c>
      <c r="G16" s="139"/>
      <c r="H16" s="141"/>
      <c r="I16" s="21"/>
      <c r="J16" s="21"/>
      <c r="K16" s="223"/>
    </row>
    <row r="17" spans="1:12" s="14" customFormat="1" ht="15.75" x14ac:dyDescent="0.25">
      <c r="A17" s="52" t="s">
        <v>386</v>
      </c>
      <c r="B17" s="201"/>
      <c r="C17" s="50"/>
      <c r="D17" s="145" t="s">
        <v>74</v>
      </c>
      <c r="E17" s="143"/>
      <c r="F17" s="144" t="str">
        <f>IFERROR(F16/F14,"")</f>
        <v/>
      </c>
      <c r="G17" s="142"/>
      <c r="H17" s="224"/>
      <c r="I17" s="224"/>
      <c r="J17" s="224"/>
      <c r="K17" s="225"/>
      <c r="L17" s="21"/>
    </row>
    <row r="18" spans="1:12" s="14" customFormat="1" ht="23.25" x14ac:dyDescent="0.35">
      <c r="C18" s="50"/>
      <c r="D18" s="475" t="str">
        <f>IF(OR(C25="",C27="",C28="",C30="",D25="",D27="",D28="",D30=""),"WARNING: Sufficient data are not provided.","")</f>
        <v>WARNING: Sufficient data are not provided.</v>
      </c>
      <c r="E18" s="475"/>
      <c r="F18" s="475"/>
      <c r="G18" s="475"/>
      <c r="H18" s="475"/>
      <c r="I18" s="475"/>
      <c r="J18" s="475"/>
      <c r="K18" s="475"/>
      <c r="L18" s="21"/>
    </row>
    <row r="19" spans="1:12" s="14" customFormat="1" x14ac:dyDescent="0.25">
      <c r="A19" s="1"/>
      <c r="B19" s="13"/>
      <c r="C19" s="13"/>
      <c r="D19" s="13"/>
      <c r="E19" s="13"/>
      <c r="F19" s="13"/>
      <c r="G19" s="13"/>
      <c r="H19" s="45"/>
      <c r="I19" s="45"/>
      <c r="J19" s="45"/>
      <c r="K19" s="45"/>
      <c r="L19" s="21"/>
    </row>
    <row r="20" spans="1:12" ht="30.75" customHeight="1" x14ac:dyDescent="0.25">
      <c r="A20" s="470" t="s">
        <v>143</v>
      </c>
      <c r="B20" s="471"/>
      <c r="C20" s="471"/>
      <c r="D20" s="472"/>
      <c r="E20" s="146"/>
      <c r="F20" s="476" t="s">
        <v>122</v>
      </c>
      <c r="G20" s="476"/>
      <c r="H20" s="476"/>
      <c r="I20" s="476"/>
      <c r="J20" s="476"/>
      <c r="K20" s="476"/>
    </row>
    <row r="21" spans="1:12" ht="15" customHeight="1" x14ac:dyDescent="0.25">
      <c r="A21" s="473" t="s">
        <v>1</v>
      </c>
      <c r="B21" s="473" t="s">
        <v>2</v>
      </c>
      <c r="C21" s="521" t="s">
        <v>75</v>
      </c>
      <c r="D21" s="521" t="s">
        <v>76</v>
      </c>
      <c r="E21" s="147"/>
      <c r="F21" s="449" t="s">
        <v>123</v>
      </c>
      <c r="G21" s="449"/>
      <c r="H21" s="449" t="s">
        <v>124</v>
      </c>
      <c r="I21" s="449" t="s">
        <v>125</v>
      </c>
      <c r="J21" s="449" t="s">
        <v>126</v>
      </c>
      <c r="K21" s="449"/>
      <c r="L21" s="14"/>
    </row>
    <row r="22" spans="1:12" ht="15" customHeight="1" x14ac:dyDescent="0.25">
      <c r="A22" s="474"/>
      <c r="B22" s="474"/>
      <c r="C22" s="522"/>
      <c r="D22" s="522"/>
      <c r="E22" s="147"/>
      <c r="F22" s="449"/>
      <c r="G22" s="449"/>
      <c r="H22" s="449"/>
      <c r="I22" s="449"/>
      <c r="J22" s="449"/>
      <c r="K22" s="449"/>
    </row>
    <row r="23" spans="1:12" ht="15.75" customHeight="1" x14ac:dyDescent="0.25">
      <c r="A23" s="453" t="s">
        <v>68</v>
      </c>
      <c r="B23" s="93" t="s">
        <v>99</v>
      </c>
      <c r="C23" s="58" t="str">
        <f>G42</f>
        <v/>
      </c>
      <c r="D23" s="58" t="str">
        <f>G82</f>
        <v/>
      </c>
      <c r="E23" s="148"/>
      <c r="F23" s="500" t="s">
        <v>68</v>
      </c>
      <c r="G23" s="500"/>
      <c r="H23" s="455" t="str">
        <f>H42</f>
        <v/>
      </c>
      <c r="I23" s="455" t="str">
        <f>H82</f>
        <v/>
      </c>
      <c r="J23" s="455" t="str">
        <f>IFERROR(ROUND(I23-H23,2),"")</f>
        <v/>
      </c>
      <c r="K23" s="455"/>
    </row>
    <row r="24" spans="1:12" ht="17.25" customHeight="1" x14ac:dyDescent="0.25">
      <c r="A24" s="463"/>
      <c r="B24" s="93" t="s">
        <v>154</v>
      </c>
      <c r="C24" s="58" t="str">
        <f>G43</f>
        <v/>
      </c>
      <c r="D24" s="58" t="str">
        <f>G83</f>
        <v/>
      </c>
      <c r="E24" s="148"/>
      <c r="F24" s="500"/>
      <c r="G24" s="500"/>
      <c r="H24" s="455"/>
      <c r="I24" s="455"/>
      <c r="J24" s="455"/>
      <c r="K24" s="455"/>
    </row>
    <row r="25" spans="1:12" ht="15.75" customHeight="1" x14ac:dyDescent="0.25">
      <c r="A25" s="94" t="s">
        <v>6</v>
      </c>
      <c r="B25" s="94" t="s">
        <v>7</v>
      </c>
      <c r="C25" s="58" t="str">
        <f>G47</f>
        <v/>
      </c>
      <c r="D25" s="58" t="str">
        <f>G87</f>
        <v/>
      </c>
      <c r="E25" s="148"/>
      <c r="F25" s="500"/>
      <c r="G25" s="500"/>
      <c r="H25" s="455"/>
      <c r="I25" s="455"/>
      <c r="J25" s="455"/>
      <c r="K25" s="455"/>
    </row>
    <row r="26" spans="1:12" ht="15.75" customHeight="1" x14ac:dyDescent="0.25">
      <c r="A26" s="464" t="s">
        <v>27</v>
      </c>
      <c r="B26" s="95" t="s">
        <v>28</v>
      </c>
      <c r="C26" s="58" t="str">
        <f>G49</f>
        <v/>
      </c>
      <c r="D26" s="58" t="str">
        <f>G89</f>
        <v/>
      </c>
      <c r="E26" s="148"/>
      <c r="F26" s="501" t="s">
        <v>6</v>
      </c>
      <c r="G26" s="501"/>
      <c r="H26" s="455" t="str">
        <f>H47</f>
        <v/>
      </c>
      <c r="I26" s="455" t="str">
        <f>H87</f>
        <v/>
      </c>
      <c r="J26" s="455" t="str">
        <f>IFERROR(ROUND(I26-H26,2),"")</f>
        <v/>
      </c>
      <c r="K26" s="455"/>
    </row>
    <row r="27" spans="1:12" ht="15.75" customHeight="1" x14ac:dyDescent="0.25">
      <c r="A27" s="465"/>
      <c r="B27" s="95" t="s">
        <v>51</v>
      </c>
      <c r="C27" s="58" t="str">
        <f>G51</f>
        <v/>
      </c>
      <c r="D27" s="58" t="str">
        <f>G91</f>
        <v/>
      </c>
      <c r="E27" s="148"/>
      <c r="F27" s="501"/>
      <c r="G27" s="501"/>
      <c r="H27" s="455"/>
      <c r="I27" s="455"/>
      <c r="J27" s="455"/>
      <c r="K27" s="455"/>
    </row>
    <row r="28" spans="1:12" ht="15.75" customHeight="1" x14ac:dyDescent="0.25">
      <c r="A28" s="465"/>
      <c r="B28" s="95" t="s">
        <v>53</v>
      </c>
      <c r="C28" s="58" t="str">
        <f>G54</f>
        <v/>
      </c>
      <c r="D28" s="58" t="str">
        <f>G94</f>
        <v/>
      </c>
      <c r="E28" s="148"/>
      <c r="F28" s="501"/>
      <c r="G28" s="501"/>
      <c r="H28" s="455"/>
      <c r="I28" s="455"/>
      <c r="J28" s="455"/>
      <c r="K28" s="455"/>
    </row>
    <row r="29" spans="1:12" ht="15.75" customHeight="1" x14ac:dyDescent="0.25">
      <c r="A29" s="465"/>
      <c r="B29" s="95" t="s">
        <v>127</v>
      </c>
      <c r="C29" s="58" t="str">
        <f>G62</f>
        <v/>
      </c>
      <c r="D29" s="58" t="str">
        <f>G102</f>
        <v/>
      </c>
      <c r="E29" s="148"/>
      <c r="F29" s="509" t="s">
        <v>27</v>
      </c>
      <c r="G29" s="510"/>
      <c r="H29" s="495" t="str">
        <f>H49</f>
        <v/>
      </c>
      <c r="I29" s="495" t="str">
        <f>H89</f>
        <v/>
      </c>
      <c r="J29" s="477" t="str">
        <f>IFERROR(ROUND(I29-H29,2),"")</f>
        <v/>
      </c>
      <c r="K29" s="478"/>
    </row>
    <row r="30" spans="1:12" s="14" customFormat="1" ht="15.75" customHeight="1" x14ac:dyDescent="0.25">
      <c r="A30" s="465"/>
      <c r="B30" s="95" t="s">
        <v>54</v>
      </c>
      <c r="C30" s="58" t="str">
        <f>G63</f>
        <v/>
      </c>
      <c r="D30" s="58" t="str">
        <f>G103</f>
        <v/>
      </c>
      <c r="E30" s="148"/>
      <c r="F30" s="511"/>
      <c r="G30" s="512"/>
      <c r="H30" s="496"/>
      <c r="I30" s="496"/>
      <c r="J30" s="479"/>
      <c r="K30" s="480"/>
    </row>
    <row r="31" spans="1:12" ht="15.75" customHeight="1" x14ac:dyDescent="0.25">
      <c r="A31" s="466"/>
      <c r="B31" s="95" t="s">
        <v>57</v>
      </c>
      <c r="C31" s="58" t="str">
        <f t="shared" ref="C31:C32" si="0">G67</f>
        <v/>
      </c>
      <c r="D31" s="58" t="str">
        <f t="shared" ref="D31:D32" si="1">G107</f>
        <v/>
      </c>
      <c r="E31" s="148"/>
      <c r="F31" s="513"/>
      <c r="G31" s="514"/>
      <c r="H31" s="497"/>
      <c r="I31" s="497"/>
      <c r="J31" s="481"/>
      <c r="K31" s="482"/>
    </row>
    <row r="32" spans="1:12" ht="15.75" customHeight="1" x14ac:dyDescent="0.25">
      <c r="A32" s="527" t="s">
        <v>61</v>
      </c>
      <c r="B32" s="400" t="s">
        <v>103</v>
      </c>
      <c r="C32" s="58" t="str">
        <f t="shared" si="0"/>
        <v/>
      </c>
      <c r="D32" s="58" t="str">
        <f t="shared" si="1"/>
        <v/>
      </c>
      <c r="E32" s="148"/>
      <c r="F32" s="483" t="s">
        <v>61</v>
      </c>
      <c r="G32" s="484"/>
      <c r="H32" s="495" t="str">
        <f>H68</f>
        <v/>
      </c>
      <c r="I32" s="495" t="str">
        <f>H108</f>
        <v/>
      </c>
      <c r="J32" s="477" t="str">
        <f>IFERROR(ROUND(I32-H32,2),"")</f>
        <v/>
      </c>
      <c r="K32" s="478"/>
    </row>
    <row r="33" spans="1:15" s="14" customFormat="1" ht="15.75" customHeight="1" x14ac:dyDescent="0.25">
      <c r="A33" s="528"/>
      <c r="B33" s="399" t="s">
        <v>476</v>
      </c>
      <c r="C33" s="58" t="str">
        <f>G69</f>
        <v/>
      </c>
      <c r="D33" s="58" t="str">
        <f>G109</f>
        <v/>
      </c>
      <c r="E33" s="148"/>
      <c r="F33" s="485"/>
      <c r="G33" s="486"/>
      <c r="H33" s="496"/>
      <c r="I33" s="496"/>
      <c r="J33" s="479"/>
      <c r="K33" s="480"/>
    </row>
    <row r="34" spans="1:15" ht="15.75" customHeight="1" x14ac:dyDescent="0.25">
      <c r="A34" s="528"/>
      <c r="B34" s="400" t="s">
        <v>93</v>
      </c>
      <c r="C34" s="58" t="str">
        <f>G70</f>
        <v/>
      </c>
      <c r="D34" s="58" t="str">
        <f>G110</f>
        <v/>
      </c>
      <c r="E34" s="148"/>
      <c r="F34" s="487"/>
      <c r="G34" s="488"/>
      <c r="H34" s="497"/>
      <c r="I34" s="497"/>
      <c r="J34" s="481"/>
      <c r="K34" s="482"/>
      <c r="L34" s="18"/>
    </row>
    <row r="35" spans="1:15" ht="15.75" customHeight="1" x14ac:dyDescent="0.25">
      <c r="A35" s="529"/>
      <c r="B35" s="400" t="s">
        <v>94</v>
      </c>
      <c r="C35" s="58" t="str">
        <f>G71</f>
        <v/>
      </c>
      <c r="D35" s="58" t="str">
        <f>G111</f>
        <v/>
      </c>
      <c r="E35" s="148"/>
      <c r="F35" s="489" t="s">
        <v>62</v>
      </c>
      <c r="G35" s="490"/>
      <c r="H35" s="495" t="str">
        <f>H72</f>
        <v/>
      </c>
      <c r="I35" s="495" t="str">
        <f>H112</f>
        <v/>
      </c>
      <c r="J35" s="477" t="str">
        <f>IFERROR(I35-H35,"")</f>
        <v/>
      </c>
      <c r="K35" s="478"/>
      <c r="L35" s="21"/>
    </row>
    <row r="36" spans="1:15" ht="15.75" customHeight="1" x14ac:dyDescent="0.25">
      <c r="A36" s="538" t="s">
        <v>62</v>
      </c>
      <c r="B36" s="96" t="s">
        <v>432</v>
      </c>
      <c r="C36" s="58" t="str">
        <f>G72</f>
        <v/>
      </c>
      <c r="D36" s="58" t="str">
        <f>G112</f>
        <v/>
      </c>
      <c r="E36" s="148"/>
      <c r="F36" s="491"/>
      <c r="G36" s="492"/>
      <c r="H36" s="496"/>
      <c r="I36" s="496"/>
      <c r="J36" s="479"/>
      <c r="K36" s="480"/>
    </row>
    <row r="37" spans="1:15" ht="15.6" customHeight="1" x14ac:dyDescent="0.25">
      <c r="A37" s="540"/>
      <c r="B37" s="96" t="s">
        <v>86</v>
      </c>
      <c r="C37" s="58" t="str">
        <f>G76</f>
        <v/>
      </c>
      <c r="D37" s="58" t="str">
        <f>G116</f>
        <v/>
      </c>
      <c r="E37" s="148"/>
      <c r="F37" s="493"/>
      <c r="G37" s="494"/>
      <c r="H37" s="497"/>
      <c r="I37" s="497"/>
      <c r="J37" s="481"/>
      <c r="K37" s="482"/>
      <c r="M37" s="14"/>
    </row>
    <row r="38" spans="1:15" s="14" customFormat="1" ht="15" customHeight="1" x14ac:dyDescent="0.25">
      <c r="A38" s="1"/>
      <c r="B38" s="13"/>
      <c r="C38" s="13"/>
      <c r="D38" s="13"/>
      <c r="E38" s="13"/>
      <c r="F38" s="13"/>
      <c r="G38" s="13"/>
      <c r="H38" s="45"/>
      <c r="I38" s="45"/>
      <c r="J38" s="45"/>
      <c r="K38" s="45"/>
      <c r="L38" s="21"/>
    </row>
    <row r="39" spans="1:15" s="14" customFormat="1" ht="15" customHeight="1" x14ac:dyDescent="0.25">
      <c r="A39" s="1"/>
      <c r="B39" s="13"/>
      <c r="C39" s="13"/>
      <c r="D39" s="13"/>
      <c r="E39" s="13"/>
      <c r="F39" s="13"/>
      <c r="G39" s="13"/>
      <c r="H39" s="45"/>
      <c r="I39" s="45"/>
      <c r="J39" s="45"/>
      <c r="K39" s="45"/>
      <c r="L39" s="21"/>
    </row>
    <row r="40" spans="1:15" ht="21" x14ac:dyDescent="0.35">
      <c r="A40" s="450" t="s">
        <v>59</v>
      </c>
      <c r="B40" s="451"/>
      <c r="C40" s="451"/>
      <c r="D40" s="451"/>
      <c r="E40" s="451"/>
      <c r="F40" s="452"/>
      <c r="G40" s="450" t="s">
        <v>18</v>
      </c>
      <c r="H40" s="451"/>
      <c r="I40" s="451"/>
      <c r="J40" s="451"/>
      <c r="K40" s="452"/>
      <c r="L40" s="21"/>
      <c r="N40" s="14"/>
      <c r="O40" s="14"/>
    </row>
    <row r="41" spans="1:15" ht="15.75" x14ac:dyDescent="0.25">
      <c r="A41" s="59" t="s">
        <v>1</v>
      </c>
      <c r="B41" s="59" t="s">
        <v>2</v>
      </c>
      <c r="C41" s="498" t="s">
        <v>3</v>
      </c>
      <c r="D41" s="499"/>
      <c r="E41" s="198" t="s">
        <v>15</v>
      </c>
      <c r="F41" s="197" t="s">
        <v>16</v>
      </c>
      <c r="G41" s="59" t="s">
        <v>19</v>
      </c>
      <c r="H41" s="59" t="s">
        <v>20</v>
      </c>
      <c r="I41" s="59" t="s">
        <v>20</v>
      </c>
      <c r="J41" s="59" t="s">
        <v>21</v>
      </c>
      <c r="K41" s="60" t="s">
        <v>21</v>
      </c>
      <c r="L41" s="21"/>
      <c r="N41" s="14"/>
      <c r="O41" s="14"/>
    </row>
    <row r="42" spans="1:15" ht="15.75" x14ac:dyDescent="0.25">
      <c r="A42" s="453" t="s">
        <v>68</v>
      </c>
      <c r="B42" s="61" t="s">
        <v>99</v>
      </c>
      <c r="C42" s="62" t="s">
        <v>421</v>
      </c>
      <c r="D42" s="62"/>
      <c r="E42" s="202"/>
      <c r="F42" s="173" t="str">
        <f>IF(E42="","",IF(E42&gt;78,0,IF(E42&lt;30,1,ROUND('Reference Standards'!C$14*E42^2+'Reference Standards'!C$15*E42+'Reference Standards'!C$16,2))))</f>
        <v/>
      </c>
      <c r="G42" s="101" t="str">
        <f>IFERROR(AVERAGE(F42),"")</f>
        <v/>
      </c>
      <c r="H42" s="460" t="str">
        <f>IFERROR(ROUND(AVERAGE(G42:G46),2),"")</f>
        <v/>
      </c>
      <c r="I42" s="462" t="str">
        <f>IF(H42="","",IF(H42&gt;0.69,"Functioning",IF(H42&gt;0.29,"Functioning At Risk",IF(H42&gt;-1,"Not Functioning"))))</f>
        <v/>
      </c>
      <c r="J42" s="523" t="str">
        <f>IF(AND(H42="",H47="",H49="",H68="",H72=""),"",ROUND((IF(H42="",0,H42)*0.2)+(IF(H47="",0,H47)*0.2)+(IF(H49="",0,H49)*0.2)+(IF(H68="",0,H68)*0.2)+(IF(H72="",0,H72)*0.2),2))</f>
        <v/>
      </c>
      <c r="K42" s="523" t="str">
        <f>IF(J42="","",IF(J42&lt;0.3, "Not Functioning",IF(OR(H42&lt;0.7,H47&lt;0.7,H49&lt;0.7,H68&lt;0.7,H72&lt;0.7),"Functioning At Risk",IF(J42&lt;0.7,"Functioning At Risk","Functioning"))))</f>
        <v/>
      </c>
      <c r="L42" s="21"/>
      <c r="N42" s="19"/>
      <c r="O42" s="14"/>
    </row>
    <row r="43" spans="1:15" s="14" customFormat="1" ht="15.75" x14ac:dyDescent="0.25">
      <c r="A43" s="454"/>
      <c r="B43" s="541" t="s">
        <v>154</v>
      </c>
      <c r="C43" s="170" t="s">
        <v>202</v>
      </c>
      <c r="D43" s="169"/>
      <c r="E43" s="167"/>
      <c r="F43" s="173" t="str">
        <f>IF(E43="","",IF(E43&gt;=1,1,IF(E43&lt;=0,0,ROUND(E43,2))))</f>
        <v/>
      </c>
      <c r="G43" s="544" t="str">
        <f>IFERROR(AVERAGE(F43:F46),"")</f>
        <v/>
      </c>
      <c r="H43" s="461"/>
      <c r="I43" s="462"/>
      <c r="J43" s="523"/>
      <c r="K43" s="523"/>
      <c r="L43" s="21"/>
      <c r="N43" s="19"/>
    </row>
    <row r="44" spans="1:15" s="14" customFormat="1" ht="15.75" x14ac:dyDescent="0.25">
      <c r="A44" s="454"/>
      <c r="B44" s="542"/>
      <c r="C44" s="171" t="s">
        <v>155</v>
      </c>
      <c r="D44" s="62"/>
      <c r="E44" s="202"/>
      <c r="F44" s="63" t="str">
        <f>IF(E44="","",IF(E44&gt;3,0,IF(E44=0,1,ROUND('Reference Standards'!C$49*E44+'Reference Standards'!C$50,2))))</f>
        <v/>
      </c>
      <c r="G44" s="545"/>
      <c r="H44" s="461"/>
      <c r="I44" s="462"/>
      <c r="J44" s="523"/>
      <c r="K44" s="523"/>
      <c r="L44" s="21"/>
      <c r="N44" s="19"/>
    </row>
    <row r="45" spans="1:15" s="14" customFormat="1" ht="15.75" x14ac:dyDescent="0.25">
      <c r="A45" s="454"/>
      <c r="B45" s="542"/>
      <c r="C45" s="171" t="s">
        <v>429</v>
      </c>
      <c r="D45" s="62"/>
      <c r="E45" s="202"/>
      <c r="F45" s="63" t="str">
        <f>IF(E45="","",IF(E45&gt;=30,1,ROUND(E45^2*'Reference Standards'!$C$82+E45*'Reference Standards'!$C$83+'Reference Standards'!$C$84,2)))</f>
        <v/>
      </c>
      <c r="G45" s="545"/>
      <c r="H45" s="461"/>
      <c r="I45" s="462"/>
      <c r="J45" s="523"/>
      <c r="K45" s="523"/>
      <c r="L45" s="21"/>
      <c r="N45" s="19"/>
    </row>
    <row r="46" spans="1:15" s="14" customFormat="1" ht="15.75" x14ac:dyDescent="0.25">
      <c r="A46" s="454"/>
      <c r="B46" s="543"/>
      <c r="C46" s="172" t="s">
        <v>391</v>
      </c>
      <c r="D46" s="64"/>
      <c r="E46" s="203"/>
      <c r="F46" s="168" t="str">
        <f>IF(E46="","",IF(B$16="Sandy",IF(E46&gt;1.94,0,IF(E46&lt;1.45,1,ROUND(E46*'Reference Standards'!$C$118+'Reference Standards'!$C$119,2))),IF(B$16="Silty",IF(E46&gt;1.83,0,IF(E46&lt;1.21,1,ROUND(E46*'Reference Standards'!$D$118+'Reference Standards'!$D$119,2))),IF(B$16="Clayey",IF(E46&gt;1.74,0,IF(E46&lt;0.82,1,ROUND(E46*'Reference Standards'!$E$118+'Reference Standards'!$E$119,2)))))))</f>
        <v/>
      </c>
      <c r="G46" s="546"/>
      <c r="H46" s="461"/>
      <c r="I46" s="462"/>
      <c r="J46" s="523"/>
      <c r="K46" s="523"/>
      <c r="L46" s="21"/>
      <c r="N46" s="19"/>
      <c r="O46" s="19"/>
    </row>
    <row r="47" spans="1:15" s="14" customFormat="1" ht="15.75" x14ac:dyDescent="0.25">
      <c r="A47" s="547" t="s">
        <v>6</v>
      </c>
      <c r="B47" s="547" t="s">
        <v>7</v>
      </c>
      <c r="C47" s="66" t="s">
        <v>8</v>
      </c>
      <c r="D47" s="66"/>
      <c r="E47" s="202"/>
      <c r="F47" s="67" t="str">
        <f>IF(E47="","",ROUND(IF(E47&gt;1.6,0,IF(E47&lt;=1,1,E47^2*'Reference Standards'!K$14+E47*'Reference Standards'!K$15+'Reference Standards'!K$16)),2))</f>
        <v/>
      </c>
      <c r="G47" s="504" t="str">
        <f>IFERROR(AVERAGE(F47:F48),"")</f>
        <v/>
      </c>
      <c r="H47" s="504" t="str">
        <f>IFERROR(ROUND(AVERAGE(G47),2),"")</f>
        <v/>
      </c>
      <c r="I47" s="502" t="str">
        <f>IF(H47="","",IF(H47&gt;0.69,"Functioning",IF(H47&gt;0.29,"Functioning At Risk",IF(H47&gt;-1,"Not Functioning"))))</f>
        <v/>
      </c>
      <c r="J47" s="523"/>
      <c r="K47" s="523"/>
      <c r="L47" s="21"/>
      <c r="N47" s="19"/>
      <c r="O47" s="19"/>
    </row>
    <row r="48" spans="1:15" s="14" customFormat="1" ht="15.75" x14ac:dyDescent="0.25">
      <c r="A48" s="549"/>
      <c r="B48" s="548"/>
      <c r="C48" s="66" t="s">
        <v>9</v>
      </c>
      <c r="D48" s="66"/>
      <c r="E48" s="202"/>
      <c r="F48" s="67" t="str">
        <f>IF(E48="","",(IF(OR(B$6="A",B$6="B",$B$6="Bc"),IF(E48&lt;1.2,0,IF(E48&gt;=2.2,1,ROUND(IF(E48&lt;1.4,E48*'Reference Standards'!$K$84+'Reference Standards'!$K$85,E48*'Reference Standards'!$L$84+'Reference Standards'!$L$85),2))),IF(OR(B$6="C",B$6="E"),IF(E48&lt;2,0,IF(E48&gt;=5,1,ROUND(IF(E48&lt;2.4,E48*'Reference Standards'!$L$49+'Reference Standards'!$L$50,E48*'Reference Standards'!$K$49+'Reference Standards'!$K$50),2)))))))</f>
        <v/>
      </c>
      <c r="G48" s="533"/>
      <c r="H48" s="505"/>
      <c r="I48" s="503"/>
      <c r="J48" s="523"/>
      <c r="K48" s="523"/>
      <c r="L48" s="21"/>
      <c r="N48" s="19"/>
      <c r="O48" s="19"/>
    </row>
    <row r="49" spans="1:15" s="14" customFormat="1" ht="15.75" x14ac:dyDescent="0.25">
      <c r="A49" s="464" t="s">
        <v>27</v>
      </c>
      <c r="B49" s="553" t="s">
        <v>28</v>
      </c>
      <c r="C49" s="74" t="s">
        <v>422</v>
      </c>
      <c r="D49" s="308"/>
      <c r="E49" s="75"/>
      <c r="F49" s="310" t="str">
        <f>IF(E49="","",IF(E49&gt;700,1,IF(E49&lt;300,ROUND('Reference Standards'!$S$14*(E49^2)+'Reference Standards'!$S$15*E49+'Reference Standards'!$S$16,2),ROUND('Reference Standards'!$T$15*E49+'Reference Standards'!$T$16,2))))</f>
        <v/>
      </c>
      <c r="G49" s="506" t="str">
        <f>IFERROR(AVERAGE(F49:F50),"")</f>
        <v/>
      </c>
      <c r="H49" s="534" t="str">
        <f>IFERROR(ROUND(AVERAGE(G49:G67),2),"")</f>
        <v/>
      </c>
      <c r="I49" s="536" t="str">
        <f>IF(H49="","",IF(H49&gt;0.69,"Functioning",IF(H49&gt;0.29,"Functioning At Risk",IF(H49&gt;-1,"Not Functioning"))))</f>
        <v/>
      </c>
      <c r="J49" s="523"/>
      <c r="K49" s="523"/>
      <c r="L49" s="21"/>
      <c r="N49" s="19"/>
      <c r="O49" s="19"/>
    </row>
    <row r="50" spans="1:15" s="14" customFormat="1" ht="15.75" x14ac:dyDescent="0.25">
      <c r="A50" s="465"/>
      <c r="B50" s="554"/>
      <c r="C50" s="77" t="s">
        <v>394</v>
      </c>
      <c r="D50" s="309"/>
      <c r="E50" s="65"/>
      <c r="F50" s="311" t="str">
        <f>IF(E50="","",IF(E50&gt;=30,1,IF(E50&lt;16,ROUND('Reference Standards'!$S$47*(E50^2)+'Reference Standards'!$S$48*E50+'Reference Standards'!$S$49,2),ROUND('Reference Standards'!$T$48*E50+'Reference Standards'!$T$49,2))))</f>
        <v/>
      </c>
      <c r="G50" s="508"/>
      <c r="H50" s="534"/>
      <c r="I50" s="536"/>
      <c r="J50" s="523"/>
      <c r="K50" s="523"/>
      <c r="L50" s="21"/>
      <c r="N50" s="19"/>
      <c r="O50" s="19"/>
    </row>
    <row r="51" spans="1:15" s="14" customFormat="1" ht="15.75" x14ac:dyDescent="0.25">
      <c r="A51" s="465"/>
      <c r="B51" s="465" t="s">
        <v>51</v>
      </c>
      <c r="C51" s="71" t="s">
        <v>92</v>
      </c>
      <c r="D51" s="71"/>
      <c r="E51" s="202"/>
      <c r="F51" s="72" t="str">
        <f>IF(E51="","",ROUND(IF(E51&gt;0.7,0,IF(E51&lt;=0.1,1,E51^3*'Reference Standards'!S$81+E51^2*'Reference Standards'!S$82+E51*'Reference Standards'!S$83+'Reference Standards'!S$84)),2))</f>
        <v/>
      </c>
      <c r="G51" s="551" t="str">
        <f>IFERROR(IF(E51="",AVERAGE(F52:F53),IF(E52="",F51,MAX(F51,AVERAGE(F52:F53)))),"")</f>
        <v/>
      </c>
      <c r="H51" s="535"/>
      <c r="I51" s="536"/>
      <c r="J51" s="523"/>
      <c r="K51" s="523"/>
      <c r="L51" s="21"/>
      <c r="N51" s="19"/>
      <c r="O51" s="19"/>
    </row>
    <row r="52" spans="1:15" s="14" customFormat="1" ht="15.75" x14ac:dyDescent="0.25">
      <c r="A52" s="465"/>
      <c r="B52" s="465"/>
      <c r="C52" s="71" t="s">
        <v>52</v>
      </c>
      <c r="D52" s="71"/>
      <c r="E52" s="202"/>
      <c r="F52" s="72" t="str">
        <f>IF(E52="","",IF(OR(E52="Ex/Ex",E52="Ex/VH"),0, IF(OR(E52="Ex/H",E52="VH/Ex",E52="VH/VH", E52="H/Ex",E52="H/VH",E52="M/Ex"),0.1,IF(OR(E52="Ex/M",E52="VH/H",E52="H/H", E52="M/VH"),0.2, IF(OR(E52="Ex/L",E52="VH/M",E52="H/M", E52="M/H",E52="L/Ex"),0.3, IF(OR(E52="Ex/VL",E52="VH/L",E52="H/L"),0.4, IF(OR(E52="VH/VL",E52="H/VL",E52="M/M", E52="L/VH"),0.5, IF(OR(E52="M/L",E52="L/H"),0.6, IF(OR(E52="M/VL",E52="L/M"),0.7, IF(OR(E52="L/L",E52="L/VL"),1))))))))))</f>
        <v/>
      </c>
      <c r="G52" s="551"/>
      <c r="H52" s="535"/>
      <c r="I52" s="536"/>
      <c r="J52" s="523"/>
      <c r="K52" s="523"/>
      <c r="L52" s="21"/>
      <c r="N52" s="19"/>
      <c r="O52" s="19"/>
    </row>
    <row r="53" spans="1:15" s="14" customFormat="1" ht="15.75" x14ac:dyDescent="0.25">
      <c r="A53" s="465"/>
      <c r="B53" s="466"/>
      <c r="C53" s="73" t="s">
        <v>102</v>
      </c>
      <c r="D53" s="73"/>
      <c r="E53" s="203"/>
      <c r="F53" s="80" t="str">
        <f>IF(E53="","",ROUND(IF(E53&gt;40,0,IF(E53&lt;5,1,E53^3*'Reference Standards'!S$116+E53^2*'Reference Standards'!S$117+E53*'Reference Standards'!S$118+'Reference Standards'!S$119)),2))</f>
        <v/>
      </c>
      <c r="G53" s="551"/>
      <c r="H53" s="535"/>
      <c r="I53" s="536"/>
      <c r="J53" s="523"/>
      <c r="K53" s="523"/>
      <c r="L53" s="21"/>
      <c r="N53" s="19"/>
      <c r="O53" s="19"/>
    </row>
    <row r="54" spans="1:15" s="14" customFormat="1" ht="15.75" x14ac:dyDescent="0.25">
      <c r="A54" s="465"/>
      <c r="B54" s="465" t="s">
        <v>53</v>
      </c>
      <c r="C54" s="74" t="s">
        <v>120</v>
      </c>
      <c r="D54" s="78"/>
      <c r="E54" s="167"/>
      <c r="F54" s="90" t="str">
        <f>IF(E54="","",ROUND(IF(E54&gt;90,1,E54^2*'Reference Standards'!S$151+E54*'Reference Standards'!S$152+'Reference Standards'!S$153),2))</f>
        <v/>
      </c>
      <c r="G54" s="550" t="str">
        <f>IFERROR(ROUND(AVERAGE(F54:F61),2),"")</f>
        <v/>
      </c>
      <c r="H54" s="535"/>
      <c r="I54" s="536"/>
      <c r="J54" s="523"/>
      <c r="K54" s="523"/>
      <c r="L54" s="21"/>
      <c r="N54" s="19"/>
      <c r="O54" s="19"/>
    </row>
    <row r="55" spans="1:15" s="14" customFormat="1" ht="15.75" x14ac:dyDescent="0.25">
      <c r="A55" s="465"/>
      <c r="B55" s="465"/>
      <c r="C55" s="76" t="s">
        <v>121</v>
      </c>
      <c r="D55" s="71"/>
      <c r="E55" s="202"/>
      <c r="F55" s="72" t="str">
        <f>IF(E55="","",ROUND(IF(E55&gt;90,1,E55^2*'Reference Standards'!S$151+E55*'Reference Standards'!S$152+'Reference Standards'!S$153),2))</f>
        <v/>
      </c>
      <c r="G55" s="551"/>
      <c r="H55" s="535"/>
      <c r="I55" s="536"/>
      <c r="J55" s="523"/>
      <c r="K55" s="523"/>
      <c r="L55" s="21"/>
      <c r="N55" s="19"/>
      <c r="O55" s="19"/>
    </row>
    <row r="56" spans="1:15" s="14" customFormat="1" ht="15.75" x14ac:dyDescent="0.25">
      <c r="A56" s="465"/>
      <c r="B56" s="465"/>
      <c r="C56" s="76" t="s">
        <v>430</v>
      </c>
      <c r="D56" s="71"/>
      <c r="E56" s="202"/>
      <c r="F56" s="72" t="str">
        <f>IF(E56="","",ROUND( IF(E56&gt;=200,1,IF(E56&lt;50, E56^2*'Reference Standards'!S$220+E56*'Reference Standards'!S$221+'Reference Standards'!S$222, E56*'Reference Standards'!T$220+'Reference Standards'!T$221)),2))</f>
        <v/>
      </c>
      <c r="G56" s="551"/>
      <c r="H56" s="535"/>
      <c r="I56" s="536"/>
      <c r="J56" s="523"/>
      <c r="K56" s="523"/>
      <c r="L56" s="21"/>
      <c r="N56" s="19"/>
      <c r="O56" s="19"/>
    </row>
    <row r="57" spans="1:15" s="14" customFormat="1" ht="15.75" x14ac:dyDescent="0.25">
      <c r="A57" s="465"/>
      <c r="B57" s="465"/>
      <c r="C57" s="76" t="s">
        <v>431</v>
      </c>
      <c r="D57" s="71"/>
      <c r="E57" s="202"/>
      <c r="F57" s="72" t="str">
        <f>IF(E57="","",ROUND( IF(E57&gt;=200,1,IF(E57&lt;50, E57^2*'Reference Standards'!S$220+E57*'Reference Standards'!S$221+'Reference Standards'!S$222, E57*'Reference Standards'!T$220+'Reference Standards'!T$221)),2))</f>
        <v/>
      </c>
      <c r="G57" s="551"/>
      <c r="H57" s="535"/>
      <c r="I57" s="536"/>
      <c r="J57" s="523"/>
      <c r="K57" s="523"/>
      <c r="L57" s="21"/>
      <c r="N57" s="19"/>
      <c r="O57" s="19"/>
    </row>
    <row r="58" spans="1:15" s="14" customFormat="1" ht="15.75" x14ac:dyDescent="0.25">
      <c r="A58" s="465"/>
      <c r="B58" s="465"/>
      <c r="C58" s="71" t="s">
        <v>128</v>
      </c>
      <c r="D58" s="71"/>
      <c r="E58" s="202"/>
      <c r="F58" s="72" t="str">
        <f>IF(E58="","",ROUND(IF(E58&gt;100,1,E58^2*'Reference Standards'!S$185+E58*'Reference Standards'!S$186+'Reference Standards'!S$187),2))</f>
        <v/>
      </c>
      <c r="G58" s="551"/>
      <c r="H58" s="535"/>
      <c r="I58" s="536"/>
      <c r="J58" s="523"/>
      <c r="K58" s="523"/>
      <c r="L58" s="21"/>
      <c r="N58" s="19"/>
      <c r="O58" s="19"/>
    </row>
    <row r="59" spans="1:15" s="14" customFormat="1" ht="15.75" x14ac:dyDescent="0.25">
      <c r="A59" s="465"/>
      <c r="B59" s="465"/>
      <c r="C59" s="71" t="s">
        <v>129</v>
      </c>
      <c r="D59" s="71"/>
      <c r="E59" s="202"/>
      <c r="F59" s="72" t="str">
        <f>IF(E59="","",ROUND(IF(E59&gt;100,1,E59^2*'Reference Standards'!S$185+E59*'Reference Standards'!S$186+'Reference Standards'!S$187),2))</f>
        <v/>
      </c>
      <c r="G59" s="551"/>
      <c r="H59" s="535"/>
      <c r="I59" s="536"/>
      <c r="J59" s="523"/>
      <c r="K59" s="523"/>
      <c r="L59" s="21"/>
      <c r="N59" s="19"/>
      <c r="O59" s="19"/>
    </row>
    <row r="60" spans="1:15" s="14" customFormat="1" ht="15.75" x14ac:dyDescent="0.25">
      <c r="A60" s="465"/>
      <c r="B60" s="465"/>
      <c r="C60" s="76" t="s">
        <v>165</v>
      </c>
      <c r="D60" s="71"/>
      <c r="E60" s="202"/>
      <c r="F60" s="72" t="str">
        <f>IF(E60="","",ROUND(IF(E60&gt;=300,0.5,E60*'Reference Standards'!S$253),2))</f>
        <v/>
      </c>
      <c r="G60" s="551"/>
      <c r="H60" s="535"/>
      <c r="I60" s="536"/>
      <c r="J60" s="523"/>
      <c r="K60" s="523"/>
      <c r="L60" s="21"/>
      <c r="N60" s="19"/>
      <c r="O60" s="19"/>
    </row>
    <row r="61" spans="1:15" s="14" customFormat="1" ht="15.75" x14ac:dyDescent="0.25">
      <c r="A61" s="465"/>
      <c r="B61" s="466"/>
      <c r="C61" s="77" t="s">
        <v>166</v>
      </c>
      <c r="D61" s="79"/>
      <c r="E61" s="202"/>
      <c r="F61" s="72" t="str">
        <f>IF(E61="","",ROUND(IF(E61&gt;=300,0.5,E61*'Reference Standards'!S$253),2))</f>
        <v/>
      </c>
      <c r="G61" s="552"/>
      <c r="H61" s="535"/>
      <c r="I61" s="536"/>
      <c r="J61" s="523"/>
      <c r="K61" s="523"/>
      <c r="L61" s="21"/>
      <c r="N61" s="19"/>
      <c r="O61" s="19"/>
    </row>
    <row r="62" spans="1:15" s="14" customFormat="1" ht="15.75" x14ac:dyDescent="0.25">
      <c r="A62" s="465"/>
      <c r="B62" s="69" t="s">
        <v>130</v>
      </c>
      <c r="C62" s="89" t="s">
        <v>168</v>
      </c>
      <c r="D62" s="71"/>
      <c r="E62" s="53"/>
      <c r="F62" s="234" t="str">
        <f>IF(E62="","",IF(B$9="Gravel",IF(E62&gt;0.1,1,IF(E62&lt;=0.01,0,ROUND(E62*'Reference Standards'!$S$289+'Reference Standards'!$S$290,2)))))</f>
        <v/>
      </c>
      <c r="G62" s="100" t="str">
        <f>IFERROR(AVERAGE(F62),"")</f>
        <v/>
      </c>
      <c r="H62" s="535"/>
      <c r="I62" s="536"/>
      <c r="J62" s="523"/>
      <c r="K62" s="523"/>
      <c r="L62" s="21"/>
      <c r="N62" s="19"/>
      <c r="O62" s="19"/>
    </row>
    <row r="63" spans="1:15" s="14" customFormat="1" ht="15.75" x14ac:dyDescent="0.25">
      <c r="A63" s="465"/>
      <c r="B63" s="464" t="s">
        <v>54</v>
      </c>
      <c r="C63" s="78" t="s">
        <v>55</v>
      </c>
      <c r="D63" s="78"/>
      <c r="E63" s="209"/>
      <c r="F63" s="299" t="str">
        <f>IF(E63="","",   IF(AND($B$6="E",$B$9="Gravel"),ROUND(IF(OR(E63&lt;=2.3,E63&gt;=10.1),0,IF(E63&lt;4,E63*'Reference Standards'!$S$325+'Reference Standards'!$S$326,IF(E63&lt;=7.5,1,E63*'Reference Standards'!$T$325+'Reference Standards'!$T$326))),2),    IF(AND($B$6="E",$B$9="Sand"),ROUND(IF(OR(E63&lt;3,E63&gt;6.7),0,IF(E63&lt;=5,1,E63*'Reference Standards'!$S$357+'Reference Standards'!$S$358)),2),    IF(AND($B$6="C",OR($B$9="Gravel",$B$9="Sand")),ROUND(IF(OR(E63&lt;=2.3,E63&gt;=8.1),0,IF(E63&lt;4,E63*'Reference Standards'!$S$391+'Reference Standards'!$S$392,IF(E63&lt;=5.5,1,E63*'Reference Standards'!$T$391+'Reference Standards'!$T$392))),2), IF(AND(OR($B$6="Bc",$B$6="B"),$B$9="Gravel"),ROUND(IF(E63&gt;=7.1,0,IF(E63&gt;4.5,E63*'Reference Standards'!$S$423+'Reference Standards'!$S$424,1)),2))))))</f>
        <v/>
      </c>
      <c r="G63" s="506" t="str">
        <f>IFERROR(AVERAGE(F63:F66),"")</f>
        <v/>
      </c>
      <c r="H63" s="535"/>
      <c r="I63" s="536"/>
      <c r="J63" s="523"/>
      <c r="K63" s="523"/>
      <c r="L63" s="21"/>
      <c r="N63" s="19"/>
      <c r="O63" s="19"/>
    </row>
    <row r="64" spans="1:15" s="14" customFormat="1" ht="15.75" x14ac:dyDescent="0.25">
      <c r="A64" s="465"/>
      <c r="B64" s="465"/>
      <c r="C64" s="71" t="s">
        <v>56</v>
      </c>
      <c r="D64" s="71"/>
      <c r="E64" s="208"/>
      <c r="F64" s="300" t="str">
        <f>IF(E64="","",IF(E64&lt;1.25,0,IF(E64&gt;=2.8,1,IF(AND(OR(B$6="B", B$6="Bc"),$B$9="Gravel"),ROUND(E64^2*'Reference Standards'!S$489+E64*'Reference Standards'!S$490+'Reference Standards'!S$491,2), IF(AND(OR(B$6="C", B$6="E"),OR($B$9="Gravel",$B$9="Sand")), ROUND(IF(E64&lt;=1.7,E64*'Reference Standards'!$S$457+'Reference Standards'!$S$458,E64*'Reference Standards'!$T$457+'Reference Standards'!$T$458),2)    )))))</f>
        <v/>
      </c>
      <c r="G64" s="507"/>
      <c r="H64" s="535"/>
      <c r="I64" s="536"/>
      <c r="J64" s="523"/>
      <c r="K64" s="523"/>
      <c r="L64" s="21"/>
      <c r="N64" s="19"/>
      <c r="O64" s="19"/>
    </row>
    <row r="65" spans="1:15" s="14" customFormat="1" ht="15.75" x14ac:dyDescent="0.25">
      <c r="A65" s="465"/>
      <c r="B65" s="465"/>
      <c r="C65" s="71" t="s">
        <v>423</v>
      </c>
      <c r="D65" s="71"/>
      <c r="E65" s="208"/>
      <c r="F65" s="282" t="str">
        <f>IF(E65="","",IF(AND($B$6="E",OR($B$9="Sand",$B$9="Gravel")), IF(OR(E65&lt;20,E65&gt;73),0,ROUND(IF(E65&lt;25,E65*'Reference Standards'!$S$526+'Reference Standards'!$S$527,IF(E65&lt;35,1,E65^2*'Reference Standards'!$T$525+E65*'Reference Standards'!$T$526+'Reference Standards'!$T$527)),2)),  IF(AND($B$6="C",OR($B$9="Sand",$B$9="Gravel")), IF(OR(E65&lt;19,E65&gt;63),0,ROUND(IF(E65&lt;43,E65*'Reference Standards'!$S$560+'Reference Standards'!$S$561,IF(E65&lt;52,1,E65*'Reference Standards'!$T$560+'Reference Standards'!$T$561)),2)),IF(AND(OR($B$6="B",$B$6="Bc"),$B$9="Gravel"), IF(OR(E65&lt;18,E65&gt;82),0,ROUND(IF(E65&lt;30,E65^2*'Reference Standards'!$S$594+E65*'Reference Standards'!$S$595+'Reference Standards'!$S$596,IF(E65&lt;41,1,E65*'Reference Standards'!$T$595+'Reference Standards'!$T$596)),2))   ))))</f>
        <v/>
      </c>
      <c r="G65" s="507"/>
      <c r="H65" s="535"/>
      <c r="I65" s="536"/>
      <c r="J65" s="523"/>
      <c r="K65" s="523"/>
      <c r="L65" s="21"/>
      <c r="N65" s="19"/>
      <c r="O65" s="19"/>
    </row>
    <row r="66" spans="1:15" ht="15.75" x14ac:dyDescent="0.25">
      <c r="A66" s="465"/>
      <c r="B66" s="466"/>
      <c r="C66" s="76" t="s">
        <v>254</v>
      </c>
      <c r="D66" s="71"/>
      <c r="E66" s="210"/>
      <c r="F66" s="283" t="str">
        <f>IF(E66="","",IF(E66&gt;=1.6,0,IF(E66&lt;=1,1,ROUND('Reference Standards'!$S$626*E66^3+'Reference Standards'!$S$627*E66^2+'Reference Standards'!$S$628*E66+'Reference Standards'!$S$629,2))))</f>
        <v/>
      </c>
      <c r="G66" s="508"/>
      <c r="H66" s="535"/>
      <c r="I66" s="536"/>
      <c r="J66" s="523"/>
      <c r="K66" s="523"/>
      <c r="L66" s="21"/>
      <c r="N66" s="19"/>
      <c r="O66" s="19"/>
    </row>
    <row r="67" spans="1:15" ht="15.75" x14ac:dyDescent="0.25">
      <c r="A67" s="466"/>
      <c r="B67" s="235" t="s">
        <v>58</v>
      </c>
      <c r="C67" s="305" t="s">
        <v>57</v>
      </c>
      <c r="D67" s="306"/>
      <c r="E67" s="304"/>
      <c r="F67" s="80" t="str">
        <f>IF(E67="","",IF(AND(B$6="E",$B$9="Sand",$B$17="Unconfined Alluvial"),ROUND(IF(OR(E67&gt;1.8,E67&lt;1.3),0,IF(E67&lt;=1.6,1,E67*'Reference Standards'!S$660+'Reference Standards'!S$661)),2),    IF($B$17="Unconfined Alluvial",ROUND(IF(OR(E67&lt;1.2, E67&gt;1.5),0,IF(E67&lt;=1.4,1,E67*'Reference Standards'!$S$693+'Reference Standards'!$S$694)),2), IF($B$17="Confined Alluvial",ROUND(IF(E67&lt;1.15,0,IF(E67&lt;=1.4,E67*'Reference Standards'!$S$722+'Reference Standards'!$S$723,1)),2),  IF($B$17="Colluvial",ROUND(IF(E67&gt;1.3,0,IF(E67&gt;1.2,E67*'Reference Standards'!$S$753+'Reference Standards'!$S$754,1)),2) )))))</f>
        <v/>
      </c>
      <c r="G67" s="102" t="str">
        <f>IFERROR(AVERAGE(F67),"")</f>
        <v/>
      </c>
      <c r="H67" s="535"/>
      <c r="I67" s="536"/>
      <c r="J67" s="523"/>
      <c r="K67" s="523"/>
      <c r="L67" s="21"/>
      <c r="N67" s="19"/>
      <c r="O67" s="19"/>
    </row>
    <row r="68" spans="1:15" ht="15.75" x14ac:dyDescent="0.25">
      <c r="A68" s="527" t="s">
        <v>61</v>
      </c>
      <c r="B68" s="83" t="s">
        <v>103</v>
      </c>
      <c r="C68" s="87" t="s">
        <v>427</v>
      </c>
      <c r="D68" s="87"/>
      <c r="E68" s="53"/>
      <c r="F68" s="82" t="str">
        <f>IF(E68="","",ROUND(IF(E68&gt;=942,0,IF(E68&lt;=487,E68*'Reference Standards'!AB$15+'Reference Standards'!AB$16,E68*'Reference Standards'!$AC$15+'Reference Standards'!$AC$16)),2))</f>
        <v/>
      </c>
      <c r="G68" s="103" t="str">
        <f>IFERROR(AVERAGE(F68),"")</f>
        <v/>
      </c>
      <c r="H68" s="555" t="str">
        <f>IFERROR(ROUND(AVERAGE(G68:G71),2),"")</f>
        <v/>
      </c>
      <c r="I68" s="524" t="str">
        <f>IF(H68="","",IF(H68&gt;0.69,"Functioning",IF(H68&gt;0.29,"Functioning At Risk",IF(H68&gt;-1,"Not Functioning"))))</f>
        <v/>
      </c>
      <c r="J68" s="523"/>
      <c r="K68" s="523"/>
      <c r="L68" s="21"/>
      <c r="O68" s="19"/>
    </row>
    <row r="69" spans="1:15" s="14" customFormat="1" ht="15.75" x14ac:dyDescent="0.25">
      <c r="A69" s="528"/>
      <c r="B69" s="399" t="s">
        <v>476</v>
      </c>
      <c r="C69" s="81" t="s">
        <v>457</v>
      </c>
      <c r="D69" s="81"/>
      <c r="E69" s="203"/>
      <c r="F69" s="85" t="str">
        <f>IF(E69="","",IF(OR($B$7="65abei", $B$7="65j", $B$7="66d", $B$7="66e", $B$7="66ik", $B$7="66f", $B$7="66g", $B$7="66j", $B$7="68a", $B$7="69de", $B$7="74b",AND(OR($B$7="67fhi", $B$7="67g"),$B$8&lt;=2),AND(OR($B$7="68c", $B$7="68d"),$B$14="January - June")),IF(E69&gt;93,0,IF(E69&lt;13,1,ROUND('Reference Standards'!$AB$53*E69^2+'Reference Standards'!$AB$54*E69+'Reference Standards'!$AB$55,2))),   IF(OR(AND(OR($B$7="67fhi", $B$7="67g",$B$7="71f",$B$7="71g",$B$7="71h"),$B$8&gt;2),AND(OR($B$7="68c", $B$7="68d"),$B$14="July - December"),$B$7="73a",$B$7="73b"),IF(E69&gt;94,0,IF(E69&lt;17,1,ROUND('Reference Standards'!$AC$53*E69^2+'Reference Standards'!$AC$54*E69+'Reference Standards'!$AC$55,2))),    IF(OR(AND(OR($B$7="68b",$B$7="71i"),$B$8&gt;2), $B$7="71e"),IF(E69&gt;91,0,IF(E69&lt;24,1,ROUND('Reference Standards'!$AD$53*E69^2+'Reference Standards'!$AD$54*E69+'Reference Standards'!$AD$55,2))),  IF(OR(AND(OR($B$7="71f",$B$7="71g",$B$7="71h",$B$7="71i"),$B$8&lt;=2), AND($B$7="74a",$B$8&gt;2)),IF(E69&gt;95,0,IF(E69&lt;=36,1,ROUND('Reference Standards'!$AE$53*E69^2+'Reference Standards'!$AE$54*E69+'Reference Standards'!$AE$55,2))))))))</f>
        <v/>
      </c>
      <c r="G69" s="230" t="str">
        <f>IFERROR(AVERAGE(F69:F69),"")</f>
        <v/>
      </c>
      <c r="H69" s="556"/>
      <c r="I69" s="525"/>
      <c r="J69" s="523"/>
      <c r="K69" s="523"/>
      <c r="L69" s="21"/>
      <c r="O69" s="19"/>
    </row>
    <row r="70" spans="1:15" ht="15.75" x14ac:dyDescent="0.25">
      <c r="A70" s="528"/>
      <c r="B70" s="83" t="s">
        <v>93</v>
      </c>
      <c r="C70" s="84" t="s">
        <v>326</v>
      </c>
      <c r="D70" s="84"/>
      <c r="E70" s="202"/>
      <c r="F70" s="85" t="str">
        <f>IF(E70="","",IF(OR($B$7="66e",$B$7="66f",$B$7="66g"), ROUND(IF(E70&gt;=0.61,0,IF(E70&lt;=0.01,1,IF(E70&lt;=0.06,E70*'Reference Standards'!$AD$197+'Reference Standards'!$AD$198,E70^2*'Reference Standards'!$AB$196+E70*'Reference Standards'!$AB$197+'Reference Standards'!$AB$198))),2),  IF($B$7="68b", ROUND(IF(E70&gt;=1.1,0,IF(E70&lt;=0.17,1,IF(E70&lt;=0.22,E70*'Reference Standards'!$AE$197+'Reference Standards'!$AE$198,E70^2*'Reference Standards'!$AC$196+E70*'Reference Standards'!$AC$197+'Reference Standards'!$AC$198))),2),IF($B$8&lt;=2.5,   IF($B$7="69de",ROUND(IF(E70&gt;=0.22,0,IF(E70&lt;=0.01,1,E70^2*'Reference Standards'!$AB$90+E70*'Reference Standards'!$AB$91+'Reference Standards'!$AB$92)),2),   IF($B$7="68c",ROUND(IF(E70&gt;=0.87,0,IF(E70&lt;=0.01,1,E70^2*'Reference Standards'!$AC$90+E70*'Reference Standards'!$AC$91+'Reference Standards'!$AC$92)),2),   IF($B$7="68a",ROUND(IF(E70&gt;=0.81,0,IF(E70&lt;=0.01,1,E70^2*'Reference Standards'!$AD$90+E70*'Reference Standards'!$AD$91+'Reference Standards'!$AD$92)),2),   IF($B$7="65abei",ROUND(IF(E70&gt;=0.67,0,IF(E70&lt;=0.01,1,IF(E70&lt;=0.18,E70*'Reference Standards'!$AG$91+'Reference Standards'!$AG$92,E70*'Reference Standards'!$AE$91+'Reference Standards'!$AE$92))),2),   IF($B$7="65j",ROUND(IF(E70&gt;=0.32,0,IF(E70&lt;=0.01,1,IF(E70&lt;=0.25,E70*'Reference Standards'!$AH$91+'Reference Standards'!$AH$92,E70*'Reference Standards'!$AF$91+'Reference Standards'!$AF$92))),2),   IF($B$7="71f",ROUND(IF(E70&gt;=3,0,IF(E70&lt;=0,1,IF(E70&lt;=0.01,0.7,E70^2*'Reference Standards'!$AB$126+E70*'Reference Standards'!$AB$127+'Reference Standards'!$AB$128))),2),   IF($B$7="74a",ROUND(IF(E70&gt;=0.14,0,IF(E70&lt;=0.01,1,IF(E70&lt;=0.02,0.7,E70^2*'Reference Standards'!$AC$126+E70*'Reference Standards'!$AC$127+'Reference Standards'!$AC$128))),2),   IF(OR($B$7="67fhi",$B$7="67g"),ROUND(IF(E70&gt;=1.9,0,IF(E70&lt;=0.01,1,IF(E70&lt;=0.05,E70*'Reference Standards'!$AF$127+'Reference Standards'!$AF$128,E70^2*'Reference Standards'!$AD$126+E70*'Reference Standards'!$AD$127+'Reference Standards'!$AD$128))),2),   IF($B$7="73a",ROUND(IF(E70&gt;=1.44,0,IF(E70&lt;=0.01,1,IF(E70&lt;=0.12,E70*'Reference Standards'!$AG$127+'Reference Standards'!$AG$128,E70^2*'Reference Standards'!$AE$126+E70*'Reference Standards'!$AE$127+'Reference Standards'!$AE$128))),2),   IF($B$7="66d",ROUND(IF(E70&gt;=0.46,0,IF(E70&lt;=0.02,1,IF(E70&lt;=0.08,E70*'Reference Standards'!$AF$163+'Reference Standards'!$AF$164,E70^2*'Reference Standards'!$AB$162+E70*'Reference Standards'!$AB$163+'Reference Standards'!$AB$164))),2),   IF(OR($B$7="71g",$B$7="71h",$B$7="71i"),ROUND(IF(E70&gt;=3,0,IF(E70&lt;=0.06,1,IF(E70&lt;=0.24,E70*'Reference Standards'!$AG$163+'Reference Standards'!$AG$164, E70^2*'Reference Standards'!$AC$162+E70*'Reference Standards'!$AC$163+'Reference Standards'!$AC$164))),2),   IF($B$7="74b",ROUND(IF(E70&gt;=1.3,0,IF(E70&lt;=0.29,1,IF(E70&lt;=0.48,E70*'Reference Standards'!$AH$163+'Reference Standards'!$AH$164,E70^2*'Reference Standards'!$AD$162+E70*'Reference Standards'!$AD$163+'Reference Standards'!$AD$164))),2),   IF($B$7="71e",ROUND(IF(E70&gt;=4.3,0,IF(E70&lt;=0.53,1,IF(E70&lt;=0.67,E70*'Reference Standards'!$AI$163+'Reference Standards'!$AI$164,E70^2*'Reference Standards'!$AE$162+E70*'Reference Standards'!$AE$163+'Reference Standards'!$AE$164))),2)       ))))))))))))),IF($B$8&gt;2.5,    IF($B$7="73a",ROUND(IF(E70&gt;=0.55,0,IF(E70&lt;=0,1,E70^2*'Reference Standards'!$AB$232+E70*'Reference Standards'!$AB$233+'Reference Standards'!$AB$234)),2),   IF($B$7="68a",ROUND(IF(E70&gt;=0.54,0,IF(E70&lt;=0,1, IF(E70&lt;=0.01,0.85, E70^2*'Reference Standards'!$AC$232+E70*'Reference Standards'!$AC$233+'Reference Standards'!$AC$234))),2),   IF($B$7="74a",ROUND(IF(E70&gt;=0.47,0,IF(E70&lt;=0.01,1, IF(E70&lt;=0.02,0.7, E70^2*'Reference Standards'!$AD$232+E70*'Reference Standards'!$AD$233+'Reference Standards'!$AD$234))),2),    IF($B$7="69de",ROUND(IF(E70&gt;=0.26,0,IF(E70&lt;=0.01,1, IF(E70&lt;=0.02,0.85, E70^2*'Reference Standards'!$AE$232+E70*'Reference Standards'!$AE$233+'Reference Standards'!$AE$234))),2),   IF($B$7="71f",ROUND(IF(E70&gt;=0.87,0,IF(E70&lt;=0.01,1,IF(E70&lt;=0.04,E70*'Reference Standards'!$AF$269+'Reference Standards'!$AF$270,E70^2*'Reference Standards'!$AB$268+E70*'Reference Standards'!$AB$269+'Reference Standards'!$AB$270))),2),  IF($B$7="65abei",ROUND(IF(E70&gt;=0.82,0,IF(E70&lt;=0.01,1,IF(E70&lt;=0.06,E70*'Reference Standards'!$AG$269+'Reference Standards'!$AG$270,E70^2*'Reference Standards'!$AC$268+E70*'Reference Standards'!$AC$269+'Reference Standards'!$AC$270))),2),  IF($B$7="65j",ROUND(IF(E70&gt;=0.33,0,IF(E70&lt;=0.03,1,IF(E70&lt;=0.09,E70*'Reference Standards'!$AH$269+'Reference Standards'!$AH$270,E70^2*'Reference Standards'!$AD$268+E70*'Reference Standards'!$AD$269+'Reference Standards'!$AD$270))),2),  IF($B$7="68c",ROUND(IF(E70&gt;=0.7,0,IF(E70&lt;=0.07,1,IF(E70&lt;=0.12,E70*'Reference Standards'!$AI$269+'Reference Standards'!$AI$270,E70^2*'Reference Standards'!$AE$268+E70*'Reference Standards'!$AE$269+'Reference Standards'!$AE$270))),2),   IF(OR($B$7="67fhi",$B$7="67g"),ROUND(IF(E70&gt;=1.8,0,IF(E70&lt;=0.08,1,IF(E70&lt;=0.2,E70*'Reference Standards'!$AF$306+'Reference Standards'!$AF$307,E70^2*'Reference Standards'!$AB$305+E70*'Reference Standards'!$AB$306+'Reference Standards'!$AB$307))),2),   IF($B$7="74b",ROUND(IF(E70&gt;=0.96,0,IF(E70&lt;=0.12,1,IF(E70&lt;=0.16,E70*'Reference Standards'!$AG$306+'Reference Standards'!$AG$307,E70^2*'Reference Standards'!$AC$305+E70*'Reference Standards'!$AC$306+'Reference Standards'!$AC$307))),2),   IF($B$7="66d",ROUND(IF(E70&gt;=0.75,0,IF(E70&lt;=0.13,1,IF(E70&lt;=0.2,E70*'Reference Standards'!$AH$306+'Reference Standards'!$AH$307,E70^2*'Reference Standards'!$AD$305+E70*'Reference Standards'!$AD$306+'Reference Standards'!$AD$307))),2),    IF(OR($B$7="71g",$B$7="71h",$B$7="71i"),ROUND(IF(E70&gt;=1.68,0,IF(E70&lt;=0.08,1,IF(E70&lt;=0.23,E70*'Reference Standards'!$AI$306+'Reference Standards'!$AI$307,E70^2*'Reference Standards'!$AE$305+E70*'Reference Standards'!$AE$306+'Reference Standards'!$AE$307))),2),   IF($B$7="71e",ROUND(IF(E70&gt;=5.3,0,IF(E70&lt;=0.94,1,IF(E70&lt;=1.4,E70*'Reference Standards'!$AF$310+'Reference Standards'!$AF$311,E70^2*'Reference Standards'!$AB$309+E70*'Reference Standards'!$AB$310+'Reference Standards'!$AB$311))),2))    )))))))))))))))))</f>
        <v/>
      </c>
      <c r="G70" s="104" t="str">
        <f>IFERROR(AVERAGE(F70),"")</f>
        <v/>
      </c>
      <c r="H70" s="556"/>
      <c r="I70" s="525"/>
      <c r="J70" s="523"/>
      <c r="K70" s="523"/>
      <c r="L70" s="21"/>
      <c r="N70" s="14"/>
      <c r="O70" s="19"/>
    </row>
    <row r="71" spans="1:15" ht="15.75" x14ac:dyDescent="0.25">
      <c r="A71" s="529"/>
      <c r="B71" s="376" t="s">
        <v>94</v>
      </c>
      <c r="C71" s="81" t="s">
        <v>325</v>
      </c>
      <c r="D71" s="81"/>
      <c r="E71" s="167"/>
      <c r="F71" s="82" t="str">
        <f>IF(E71="","",IF($B$8&gt;2.5,IF(OR($B$7="71h",$B$7="71i",$B$7="73a",$B$7="74a"),IF(E71&lt;=0.01,1,IF(OR($B$7="71h",$B$7="71i"),IF(E71&gt;0.37,0,ROUND(IF(E71&gt;0.03,'Reference Standards'!$AB$425*E71^2+'Reference Standards'!$AB$426*E71+'Reference Standards'!$AB$427,'Reference Standards'!$AF$426*E71+'Reference Standards'!$AF$427),2)),  IF($B$7="73a",IF(E71&gt;0.405,0,ROUND(IF(E71&gt;0.046,'Reference Standards'!$AC$425*E71^2+'Reference Standards'!$AC$426*E71+'Reference Standards'!$AC$427,'Reference Standards'!$AG$426*E71+'Reference Standards'!$AG$427),2)),IF($B$7="74a",IF(E71&gt;0.3,0,ROUND(IF(E71&gt;0.052,'Reference Standards'!$AD$425*E71^2+'Reference Standards'!$AD$426*E71+'Reference Standards'!$AD$427,'Reference Standards'!$AH$426*E71+'Reference Standards'!$AH$427),2)))))),   IF(E71&lt;=0.002,1,IF(OR($B$7="66d",$B$7="66e",$B$7="66g"),IF(E71&gt;0.053,0,ROUND(E71^2*'Reference Standards'!$AB$347+E71*'Reference Standards'!$AB$348+'Reference Standards'!$AB$349,2)), IF($B$7="68b",IF(E71&gt;0.05,0,ROUND(E71^2*'Reference Standards'!$AC$347+E71*'Reference Standards'!$AC$348+'Reference Standards'!$AC$349,2)),  IF(OR($B$7="68a",$B$7="68c"),IF(E71&gt;0.07,0,ROUND(E71^2*'Reference Standards'!$AD$347+E71*'Reference Standards'!$AD$348+'Reference Standards'!$AD$349,2)), IF(OR($B$7="71f",$B$7="71g"),IF(E71&gt;0.13,0,ROUND(IF(E71&gt;0.042,E71*'Reference Standards'!$AE$348+'Reference Standards'!$AE$349,E71*'Reference Standards'!$AF$348+'Reference Standards'!$AF$349),2)), IF($B$7="67fhi",IF(E71&gt;0.16,0,ROUND(E71^2*'Reference Standards'!$AG$347+E71*'Reference Standards'!$AG$348+'Reference Standards'!$AG$349,2)),  IF($B$7="65j",IF(E71&gt;0.035,0,ROUND(IF(E71&lt;=0.003,0.7,E71^2*'Reference Standards'!$AB$387+E71*'Reference Standards'!$AB$388+'Reference Standards'!$AB$389),2)),IF($B$7="69de",IF(E71&gt;0.037,0,ROUND(IF(E71&lt;=0.003,0.7,E71^2*'Reference Standards'!$AC$387+E71*'Reference Standards'!$AC$388+'Reference Standards'!$AC$389),2)),IF($B$7="71e",IF(E71&gt;0.23,0,ROUND(IF(E71&lt;=0.003,0.7,E71^2*'Reference Standards'!$AD$387+E71*'Reference Standards'!$AD$388+'Reference Standards'!$AD$389),2)),IF($B$7="66f",IF(E71&gt;0.06,0,ROUND(IF(E71&lt;=0.003,0.85,IF(E71&lt;=0.004,0.7,E71^2*'Reference Standards'!$AE$387+E71*'Reference Standards'!$AE$388+'Reference Standards'!$AE$389)),2)),IF($B$7="67g",IF(E71&gt;0.11,0,ROUND(IF(E71&lt;=0.01,E71*'Reference Standards'!$AH$388+'Reference Standards'!$AH$389, E71^2*'Reference Standards'!$AF$387+E71*'Reference Standards'!$AF$388+'Reference Standards'!$AF$389),2)),IF($B$7="74b",IF(E71&gt;0.49,0,ROUND(IF(E71&lt;=0.01,E71*'Reference Standards'!$AH$388+'Reference Standards'!$AH$389, E71^2*'Reference Standards'!$AG$387+E71*'Reference Standards'!$AG$388+'Reference Standards'!$AG$389),2)),IF($B$7="65abei",IF(E71&gt;0.199,0,ROUND(IF(E71&lt;=0.01,E71*'Reference Standards'!$AI$426+'Reference Standards'!$AI$427, E71^2*'Reference Standards'!$AE$425+E71*'Reference Standards'!$AE$426+'Reference Standards'!$AE$427),2))    )))))))))))))),      IF($B$8&lt;=2.5, IF(OR($B$7="66d",$B$7="66e",$B$7="66g"),IF(E71&gt;0.05,0,ROUND(IF(E71&lt;=0.002,1,IF(E71&lt;=0.005,E71*'Reference Standards'!$AF$464+'Reference Standards'!$AF$465, E71^2*'Reference Standards'!$AB$463+E71*'Reference Standards'!$AB$464+'Reference Standards'!$AB$465)),2)), IF($B$7="67fhi",IF(E71&gt;0.1,0,ROUND(IF(E71&lt;=0.002,1,IF(E71&lt;=0.006,E71*'Reference Standards'!$AG$464+'Reference Standards'!$AG$465, E71^2*'Reference Standards'!$AC$463+E71*'Reference Standards'!$AC$464+'Reference Standards'!$AC$465)),2)), IF($B$7="65abei",IF(E71&gt;0.13,0,ROUND(IF(E71&lt;=0.003,1,IF(E71&lt;=0.008,E71*'Reference Standards'!$AH$464+'Reference Standards'!$AH$465, E71^2*'Reference Standards'!$AD$463+E71*'Reference Standards'!$AD$464+'Reference Standards'!$AD$465)),2)), IF($B$7="68b",IF(E71&gt;0.043,0,ROUND(IF(E71&lt;=0.004,1, IF(E71&lt;=0.005,0.7, E71^2*'Reference Standards'!$AE$463+E71*'Reference Standards'!$AE$464+'Reference Standards'!$AE$465)),2)), IF($B$7="69de",IF(E71&gt;=0.034,0,ROUND(IF(E71&lt;=0.003,1, IF(E71&lt;=0.006,E71*'Reference Standards'!$AG$500+'Reference Standards'!$AG$501, E71*'Reference Standards'!$AB$500+'Reference Standards'!$AB$501)),2)), IF(OR($B$7="68a",$B$7="68c"),IF(E71&gt;0.202,0,ROUND(IF(E71&lt;=0.003,1, IF(E71&lt;=0.006,E71*'Reference Standards'!$AG$500+'Reference Standards'!$AG$501, IF(E71&gt;=0.04,E71*'Reference Standards'!$AC$500+'Reference Standards'!$AC$501,E71*'Reference Standards'!$AE$500+'Reference Standards'!$AE$501))),2)), IF(OR($B$7="71f",$B$7="71g"),IF(E71&gt;0.631,0,ROUND(IF(E71&lt;=0.003,1, IF(E71&lt;=0.006,E71*'Reference Standards'!$AG$500+'Reference Standards'!$AG$501, IF(E71&gt;=0.17,E71*'Reference Standards'!$AD$500+'Reference Standards'!$AD$501,E71*'Reference Standards'!$AF$500+'Reference Standards'!$AF$501))),2)),   IF($B$7="71e",IF(E71&gt;1.23,0,ROUND(IF(E71&lt;=0.004,1,IF(E71&lt;=0.006,E71*'Reference Standards'!$AF$538+'Reference Standards'!$AF$539, E71^2*'Reference Standards'!$AB$537+E71*'Reference Standards'!$AB$538+'Reference Standards'!$AB$539)),2)), IF($B$7="67g",IF(E71&gt;0.11,0,ROUND(IF(E71&lt;=0.006,1,IF(E71&lt;=0.011,E71*'Reference Standards'!$AG$538+'Reference Standards'!$AG$539, E71^2*'Reference Standards'!$AC$537+E71*'Reference Standards'!$AC$538+'Reference Standards'!$AC$539)),2)), IF($B$7="65j",IF(E71&gt;0.046,0,ROUND(IF(E71&lt;=0.007,1,IF(E71&lt;=0.012,E71*'Reference Standards'!$AH$538+'Reference Standards'!$AH$539, E71^2*'Reference Standards'!$AD$537+E71*'Reference Standards'!$AD$538+'Reference Standards'!$AD$539)),2)), IF($B$7="66f",IF(E71&gt;0.081,0,ROUND(IF(E71&lt;=0.008,1,IF(E71&lt;=0.011,E71*'Reference Standards'!$AI$538+'Reference Standards'!$AI$539, E71^2*'Reference Standards'!$AE$537+E71*'Reference Standards'!$AE$538+'Reference Standards'!$AE$539)),2)), IF(OR($B$7="71h",$B$7="71i"),IF(E71&gt;0.37,0,ROUND(IF(E71&lt;=0.013,1,IF(E71&lt;=0.032,E71*'Reference Standards'!$AH$576+'Reference Standards'!$AH$577, IF(E71&lt;=0.3,E71*'Reference Standards'!$AF$576+'Reference Standards'!$AF$577,E71*'Reference Standards'!$AB$576+'Reference Standards'!$AB$577))),2)), IF($B$7="73a",IF(E71&gt;0.448,0,ROUND(IF(E71&lt;=0.071,1,IF(E71&lt;=0.086,E71*'Reference Standards'!$AJ$576+'Reference Standards'!$AJ$577, IF(E71&lt;=0.165,E71*'Reference Standards'!$AG$576+'Reference Standards'!$AG$577,E71*'Reference Standards'!$AE$576+'Reference Standards'!$AE$577))),2)),  IF($B$7="74b",IF(E71&gt;0.43,0,ROUND(IF(E71&lt;=0.018,1,IF(E71&lt;=0.019,0.85, IF(E71&lt;=0.02,0.7, E71^2*'Reference Standards'!$AC$575+E71*'Reference Standards'!$AC$576+'Reference Standards'!$AC$577))),2)), IF($B$7="74a",IF(E71&gt;0.217,0,ROUND(IF(E71&lt;=0.02,1,IF(E71&lt;=0.033,E71*'Reference Standards'!$AI$576+'Reference Standards'!$AI$577, E71^2*'Reference Standards'!$AD$575+E71*'Reference Standards'!$AD$576+'Reference Standards'!$AD$577)),2))     ))))))))))))))))))</f>
        <v/>
      </c>
      <c r="G71" s="105" t="str">
        <f>IFERROR(AVERAGE(F71),"")</f>
        <v/>
      </c>
      <c r="H71" s="557"/>
      <c r="I71" s="526"/>
      <c r="J71" s="523"/>
      <c r="K71" s="523"/>
      <c r="L71" s="21"/>
      <c r="N71" s="14"/>
      <c r="O71" s="19"/>
    </row>
    <row r="72" spans="1:15" ht="15.75" x14ac:dyDescent="0.25">
      <c r="A72" s="538" t="s">
        <v>62</v>
      </c>
      <c r="B72" s="517" t="s">
        <v>432</v>
      </c>
      <c r="C72" s="154" t="s">
        <v>419</v>
      </c>
      <c r="D72" s="155"/>
      <c r="E72" s="209"/>
      <c r="F72" s="219" t="str">
        <f>IF(E72="","",IF(OR(B$7="73a",B$7="73b"),IF(E72&lt;1,0,IF(E72&gt;=30,1,ROUND(IF(E72&lt;22,'Reference Standards'!$AL$16*E72+'Reference Standards'!$AL$17,'Reference Standards'!$AM$16*E72+'Reference Standards'!$AM$17),2))), IF(E72&lt;1,0, IF(E72&gt;=42,1, ROUND(IF(E72&lt;32,'Reference Standards'!$AN$16*E72+'Reference Standards'!$AN$17,'Reference Standards'!$AO$16*E72+'Reference Standards'!$AO$17),2)))))</f>
        <v/>
      </c>
      <c r="G72" s="558" t="str">
        <f>IFERROR(AVERAGE(F72:F75),"")</f>
        <v/>
      </c>
      <c r="H72" s="537" t="str">
        <f>IFERROR(ROUND(AVERAGE(G72:G77),2),"")</f>
        <v/>
      </c>
      <c r="I72" s="462" t="str">
        <f>IF(H72="","",IF(H72&gt;0.69,"Functioning",IF(H72&gt;0.29,"Functioning At Risk",IF(H72&gt;-1,"Not Functioning"))))</f>
        <v/>
      </c>
      <c r="J72" s="523"/>
      <c r="K72" s="523"/>
      <c r="L72" s="21"/>
      <c r="N72" s="14"/>
      <c r="O72" s="19"/>
    </row>
    <row r="73" spans="1:15" s="14" customFormat="1" ht="15.75" x14ac:dyDescent="0.25">
      <c r="A73" s="539"/>
      <c r="B73" s="518"/>
      <c r="C73" s="217" t="s">
        <v>424</v>
      </c>
      <c r="D73" s="218"/>
      <c r="E73" s="208"/>
      <c r="F73" s="221" t="str">
        <f>IF(E73="","",IF(AND($B$7="74b",$B$8&lt;=2),IF(E73&lt;0,0,IF(E73&gt;15.6,0.69,ROUND('Reference Standards'!$AL$54*E73^2+'Reference Standards'!$AL$55*E73+'Reference Standards'!$AL$56,2))),IF(AND($B$7="65abei",$B$8&lt;=2),IF(E73&lt;0,0,IF(E73&gt;=20,0.69,ROUND('Reference Standards'!$AM$54*E73^2+'Reference Standards'!$AM$55*E73+'Reference Standards'!$AM$56,2))),IF(OR(AND($B$7="74a",$B$8&gt;2,$B$14="January - June"),AND($B$7="71i",$B$8&gt;2,$B$15="SQBANK")),IF(E73&lt;0,0,IF(E73&gt;24.7,0.69,ROUND('Reference Standards'!$AN$54*E73^2+'Reference Standards'!$AN$55*E73+'Reference Standards'!$AN$56,2))),IF(OR($B$7="74b",$B$7="65abei"),IF(E73&lt;0,0,IF(E73&gt;32.7,0.69,ROUND('Reference Standards'!$AO$54*E73^2+'Reference Standards'!$AO$55*E73+'Reference Standards'!$AO$56,2))),IF(AND($B$7="68b",$B$8&gt;2),IF(E73&lt;0,0,IF(E73&gt;41.2,0.69,ROUND('Reference Standards'!$AP$54*E73^2+'Reference Standards'!$AP$55*E73+'Reference Standards'!$AP$56,2))),IF(OR(AND($B$7="71i",$B$8&lt;=2),AND(OR($B$7="68c",$B$7="68d"),$B$14="January - June")),IF(E73&lt;0,0,IF(E73&gt;49.2,0.69,ROUND('Reference Standards'!$AL$94*E73^2+'Reference Standards'!$AL$95*E73+'Reference Standards'!$AL$96,2))),IF(OR(AND($B$7="68a",$B$14="January - June"),AND(OR($B$7="68c",$B$7="68d"),$B$14="July - December")),IF(E73&lt;0,0,IF(E73&gt;53.4,0.69,ROUND('Reference Standards'!$AM$94*E73^2+'Reference Standards'!$AM$95*E73+'Reference Standards'!$AM$96,2))),IF(OR(AND($B$7="71i",$B$8&gt;2,$B$15="SQKICK"),AND(OR($B$7="67fhi",$B$7="67g"),$B$8&lt;=2),$B$7="65j"),IF(E73&lt;0,0,IF(E73&gt;57.8,0.69,ROUND('Reference Standards'!$AN$94*E73^2+'Reference Standards'!$AN$95*E73+'Reference Standards'!$AN$96,2))),IF(OR(AND($B$7="74a",$B$8&gt;2,$B$14="July - December"),AND(OR($B$7="67fhi",$B$7="67g"),$B$8&gt;2),$B$7="69de"),IF(E73&lt;0,0,IF(E73&gt;62.5,0.69,ROUND('Reference Standards'!$AO$94*E73^2+'Reference Standards'!$AO$95*E73+'Reference Standards'!$AO$96,2))),  IF(OR($B$7="66d",$B$7="66e",$B$7="66ik",$B$7="71e",$B$7="71f",$B$7="71g",$B$7="71h"),IF(E73&lt;0,0,IF(E73&gt;66.5,0.69,ROUND('Reference Standards'!$AP$94*E73^2+'Reference Standards'!$AP$95*E73+'Reference Standards'!$AP$96,2))),IF(OR($B$7="66f",$B$7="66g",$B$7="66j",AND($B$7="68a",$B$14="July - December")), IF(E73&lt;0,0,IF(E73&gt;69,0.69,ROUND('Reference Standards'!$AQ$94*E73^2+'Reference Standards'!$AQ$95*E73+'Reference Standards'!$AQ$96,2))))   )))))))))))</f>
        <v/>
      </c>
      <c r="G73" s="558"/>
      <c r="H73" s="537"/>
      <c r="I73" s="462"/>
      <c r="J73" s="523"/>
      <c r="K73" s="523"/>
      <c r="L73" s="21"/>
      <c r="O73" s="19"/>
    </row>
    <row r="74" spans="1:15" s="14" customFormat="1" ht="15.75" x14ac:dyDescent="0.25">
      <c r="A74" s="539"/>
      <c r="B74" s="518"/>
      <c r="C74" s="217" t="s">
        <v>428</v>
      </c>
      <c r="D74" s="218"/>
      <c r="E74" s="208"/>
      <c r="F74" s="221" t="str">
        <f>IF(E74="","",IF(AND($B$7="74b",$B$8&lt;=2),IF(E74&lt;0,0,IF(E74&gt;8.1,0.69,ROUND('Reference Standards'!$AL$131*E74^2+'Reference Standards'!$AL$132*E74+'Reference Standards'!$AL$133,2))),IF(OR($B$7="73a",$B$7="73b"),IF(E74&lt;0,0,IF(E74&gt;=28,0.69,ROUND('Reference Standards'!$AM$131*E74^2+'Reference Standards'!$AM$132*E74+'Reference Standards'!$AM$133,2))),IF(AND($B$7="74a",$B$8&gt;2,$B$14="January - June"),IF(E74&lt;0,0,IF(E74&gt;=32.5,0.69,ROUND('Reference Standards'!$AN$131*E74^2+'Reference Standards'!$AN$132*E74+'Reference Standards'!$AN$133,2))),IF(AND($B$7="71i",$B$8&gt;2,$B$15="SQBANK"),IF(E74&lt;0,0,IF(E74&gt;=37,0.69,ROUND('Reference Standards'!$AO$131*E74^2+'Reference Standards'!$AO$132*E74+'Reference Standards'!$AO$133,2))),IF(OR(AND(OR($B$7="65abei",$B$7="74b"),$B$8&gt;2),AND($B$7="71i",$B$8&gt;2,$B$15="SQKICK")),IF(E74&lt;0,0,IF(E74&gt;42.6,0.69,ROUND('Reference Standards'!$AP$131*E74^2+'Reference Standards'!$AP$132*E74+'Reference Standards'!$AP$133,2))),     IF(OR(AND($B$7="65abei",$B$8&lt;=2),AND(OR($B$7="68c",$B$7="68d"),$B$14="July - December"),$B$7="71e"),IF(E74&lt;0,0,IF(E74&gt;=48,0.69,ROUND('Reference Standards'!$AL$171*E74^2+'Reference Standards'!$AL$172*E74+'Reference Standards'!$AL$173,2))),IF(OR($B$7="65j",$B$7="67fhi",$B$7="67g",AND($B$7="74a",$B$14="July - December",$B$8&gt;2),AND($B$7="71i",$B$8&lt;=2)),IF(E74&lt;0,0,IF(E74&gt;=53,0.69,ROUND('Reference Standards'!$AM$171*E74^2+'Reference Standards'!$AM$172*E74+'Reference Standards'!$AM$173,2))),IF(OR(AND(OR($B$7="68b",$B$7="71f",$B$7="71g",$B$7="71h"),$B$8&gt;2),$B$7="68a"),IF(E74&lt;0,0,IF(E74&gt;=57,0.69,ROUND('Reference Standards'!$AN$171*E74^2+'Reference Standards'!$AN$172*E74+'Reference Standards'!$AN$173,2))),IF(OR($B$7="66f",$B$7="66g",$B$7="66j",AND(OR($B$7="71f",$B$7="71g",$B$7="71h"),$B$8&lt;=2)),IF(E74&lt;0,0,IF(E74&gt;=60,0.69,ROUND('Reference Standards'!$AO$171*E74^2+'Reference Standards'!$AO$172*E74+'Reference Standards'!$AO$173,2))),  IF(OR($B$7="66d",$B$7="66e",$B$7="66ik", AND(OR($B$7="68c",$B$7="68d"),$B$14="January - June"),AND($B$7="69de",$B$14="July - December")),IF(E74&lt;0,0,IF(E74&gt;=67.5,0.69,ROUND('Reference Standards'!$AP$171*E74^2+'Reference Standards'!$AP$172*E74+'Reference Standards'!$AP$173,2))),IF(AND($B$7="69de",$B$14="January - June"), IF(E74&lt;0,0,IF(E74&gt;=72,0.69,ROUND('Reference Standards'!$AQ$171*E74^2+'Reference Standards'!$AQ$172*E74+'Reference Standards'!$AQ$173,2))))   )))))))))))</f>
        <v/>
      </c>
      <c r="G74" s="558"/>
      <c r="H74" s="537"/>
      <c r="I74" s="462"/>
      <c r="J74" s="523"/>
      <c r="K74" s="523"/>
      <c r="L74" s="21"/>
      <c r="O74" s="19"/>
    </row>
    <row r="75" spans="1:15" s="14" customFormat="1" ht="15.75" x14ac:dyDescent="0.25">
      <c r="A75" s="539"/>
      <c r="B75" s="519"/>
      <c r="C75" s="156" t="s">
        <v>425</v>
      </c>
      <c r="D75" s="88"/>
      <c r="E75" s="210"/>
      <c r="F75" s="221" t="str">
        <f>IF(E75="","",IF(OR($B$7="67fhi",$B$7="67g",$B$7="71e",$B$7="73a",$B$7="73b",AND(OR($B$7="71f",$B$7="71g",$B$7="71h"),$B$8&gt;2)),IF(E75&gt;100,0,IF(E75&lt;15,0.69,ROUND('Reference Standards'!$AL$208*E75^2+'Reference Standards'!$AL$209*E75+'Reference Standards'!$AL$210,2))),  IF(OR($B$7="66d",$B$7="66e",$B$7="66ik",$B$7="66f",$B$7="66g",$B$7="66j",$B$7="68a",$B$7="68c",$B$7="68d",AND($B$7="69de",$B$14="July - December"), AND($B$7="71i",$B$8&lt;=2), AND($B$7="71i",$B$8&gt;2,$B$15="SQBANK" ), AND($B$7="74a",$B$8&gt;2,$B$14="July - December") ),IF(E75&gt;100,0,IF(E75&lt;19,0.69,ROUND('Reference Standards'!$AM$208*E75^2+'Reference Standards'!$AM$209*E75+'Reference Standards'!$AM$210,2))),    IF(OR(AND($B$7="69de",$B$14="January - June"),AND($B$7="71i",$B$8&gt;2,$B$15="SQKICK" )),IF(E75&gt;100,0,IF(E75&lt;22,0.69,ROUND('Reference Standards'!$AN$208*E75^2+'Reference Standards'!$AN$209*E75+'Reference Standards'!$AN$210,2))),    IF(OR($B$7="65j",AND($B$7="68b",$B$8&gt;2)),IF(E75&gt;100,0,IF(E75&lt;24,0.69,ROUND('Reference Standards'!$AO$208*E75^2+'Reference Standards'!$AO$209*E75+'Reference Standards'!$AO$210,2))),    IF(AND(OR($B$7="65abei",$B$7="71f",$B$7="71g",$B$7="71h"),$B$8&lt;=2),IF(E75&gt;95,0,IF(E75&lt;33,0.69,ROUND('Reference Standards'!$AL$246*E75^2+'Reference Standards'!$AL$247*E75+'Reference Standards'!$AL$248,2))),   IF(AND(OR($B$7="65abei",$B$7="74b"),$B$8&gt;2),IF(E75&gt;97,0,IF(E75&lt;36,0.69,ROUND('Reference Standards'!$AM$246*E75^2+'Reference Standards'!$AM$247*E75+'Reference Standards'!$AM$248,2))),  IF(AND($B$7="74a",$B$14="January - June",$B$8&gt;2),IF(E75&gt;93,0,IF(E75&lt;52,0.69,ROUND('Reference Standards'!$AN$246*E75^2+'Reference Standards'!$AN$247*E75+'Reference Standards'!$AN$248,2))),   IF(AND($B$7="74b",$B$8&lt;=2),IF(E75&gt;97,0,IF(E75&lt;62,0.69,ROUND('Reference Standards'!$AO$246*E75^2+'Reference Standards'!$AO$247*E75+'Reference Standards'!$AO$248,2)))  )))))))))</f>
        <v/>
      </c>
      <c r="G75" s="558"/>
      <c r="H75" s="537"/>
      <c r="I75" s="462"/>
      <c r="J75" s="523"/>
      <c r="K75" s="523"/>
      <c r="L75" s="21"/>
      <c r="O75" s="19"/>
    </row>
    <row r="76" spans="1:15" s="14" customFormat="1" ht="15.75" x14ac:dyDescent="0.25">
      <c r="A76" s="539"/>
      <c r="B76" s="530" t="s">
        <v>86</v>
      </c>
      <c r="C76" s="154" t="s">
        <v>255</v>
      </c>
      <c r="D76" s="155"/>
      <c r="E76" s="167"/>
      <c r="F76" s="219" t="str">
        <f>IF(E76="","",IF(E76=1,0.15,IF(E76=3,0.5,IF(E76=5,0.85,0))))</f>
        <v/>
      </c>
      <c r="G76" s="531" t="str">
        <f>IFERROR(AVERAGE(F76:F77),"")</f>
        <v/>
      </c>
      <c r="H76" s="537"/>
      <c r="I76" s="462"/>
      <c r="J76" s="523"/>
      <c r="K76" s="523"/>
      <c r="L76" s="21"/>
      <c r="O76" s="19"/>
    </row>
    <row r="77" spans="1:15" ht="15.75" x14ac:dyDescent="0.25">
      <c r="A77" s="540"/>
      <c r="B77" s="530"/>
      <c r="C77" s="156" t="s">
        <v>420</v>
      </c>
      <c r="D77" s="88"/>
      <c r="E77" s="203"/>
      <c r="F77" s="220" t="str">
        <f>IF(E77="","",IF(E77=1,0.15,IF(E77=3,0.5,IF(E77=5,0.85,0))))</f>
        <v/>
      </c>
      <c r="G77" s="532"/>
      <c r="H77" s="537"/>
      <c r="I77" s="462"/>
      <c r="J77" s="523"/>
      <c r="K77" s="523"/>
      <c r="L77" s="21"/>
      <c r="N77" s="14"/>
    </row>
    <row r="78" spans="1:15" x14ac:dyDescent="0.25">
      <c r="J78" s="13"/>
      <c r="K78" s="13"/>
      <c r="L78" s="21"/>
    </row>
    <row r="79" spans="1:15" s="14" customFormat="1" x14ac:dyDescent="0.25">
      <c r="J79" s="13"/>
      <c r="K79" s="13"/>
      <c r="L79" s="21"/>
    </row>
    <row r="80" spans="1:15" ht="21" x14ac:dyDescent="0.35">
      <c r="A80" s="450" t="s">
        <v>60</v>
      </c>
      <c r="B80" s="451"/>
      <c r="C80" s="451"/>
      <c r="D80" s="451"/>
      <c r="E80" s="451"/>
      <c r="F80" s="452"/>
      <c r="G80" s="450" t="s">
        <v>18</v>
      </c>
      <c r="H80" s="451"/>
      <c r="I80" s="451"/>
      <c r="J80" s="451"/>
      <c r="K80" s="452"/>
      <c r="L80" s="21"/>
    </row>
    <row r="81" spans="1:14" ht="15.75" x14ac:dyDescent="0.25">
      <c r="A81" s="59" t="s">
        <v>1</v>
      </c>
      <c r="B81" s="59" t="s">
        <v>2</v>
      </c>
      <c r="C81" s="498" t="s">
        <v>3</v>
      </c>
      <c r="D81" s="499"/>
      <c r="E81" s="198" t="s">
        <v>15</v>
      </c>
      <c r="F81" s="197" t="s">
        <v>16</v>
      </c>
      <c r="G81" s="59" t="s">
        <v>19</v>
      </c>
      <c r="H81" s="59" t="s">
        <v>20</v>
      </c>
      <c r="I81" s="59" t="s">
        <v>20</v>
      </c>
      <c r="J81" s="59" t="s">
        <v>21</v>
      </c>
      <c r="K81" s="60" t="s">
        <v>21</v>
      </c>
    </row>
    <row r="82" spans="1:14" ht="15.75" x14ac:dyDescent="0.25">
      <c r="A82" s="453" t="s">
        <v>68</v>
      </c>
      <c r="B82" s="61" t="s">
        <v>99</v>
      </c>
      <c r="C82" s="62" t="s">
        <v>421</v>
      </c>
      <c r="D82" s="62"/>
      <c r="E82" s="202"/>
      <c r="F82" s="173" t="str">
        <f>IF(E82="","",IF(E82&gt;78,0,IF(E82&lt;30,1,ROUND('Reference Standards'!C$14*E82^2+'Reference Standards'!C$15*E82+'Reference Standards'!C$16,2))))</f>
        <v/>
      </c>
      <c r="G82" s="101" t="str">
        <f>IFERROR(AVERAGE(F82),"")</f>
        <v/>
      </c>
      <c r="H82" s="460" t="str">
        <f>IFERROR(ROUND(AVERAGE(G82:G86),2),"")</f>
        <v/>
      </c>
      <c r="I82" s="462" t="str">
        <f>IF(H82="","",IF(H82&gt;0.69,"Functioning",IF(H82&gt;0.29,"Functioning At Risk",IF(H82&gt;-1,"Not Functioning"))))</f>
        <v/>
      </c>
      <c r="J82" s="523" t="str">
        <f>IF(AND(H82="",H87="",H89="",H108="",H112=""),"",ROUND((IF(H82="",0,H82)*0.2)+(IF(H87="",0,H87)*0.2)+(IF(H89="",0,H89)*0.2)+(IF(H108="",0,H108)*0.2)+(IF(H112="",0,H112)*0.2),2))</f>
        <v/>
      </c>
      <c r="K82" s="536" t="str">
        <f>IF(J82="","",IF(J82&lt;0.3, "Not Functioning",IF(OR(H82&lt;0.7,H87&lt;0.7,H89&lt;0.7,H108&lt;0.7,H112&lt;0.7),"Functioning At Risk",IF(J82&lt;0.7,"Functioning At Risk","Functioning"))))</f>
        <v/>
      </c>
      <c r="N82" s="14"/>
    </row>
    <row r="83" spans="1:14" s="14" customFormat="1" ht="15.75" x14ac:dyDescent="0.25">
      <c r="A83" s="454"/>
      <c r="B83" s="541" t="s">
        <v>154</v>
      </c>
      <c r="C83" s="170" t="s">
        <v>202</v>
      </c>
      <c r="D83" s="169"/>
      <c r="E83" s="167"/>
      <c r="F83" s="173" t="str">
        <f>IF(E83="","",IF(E83&gt;=1,1,IF(E83&lt;=0,0,ROUND(E83,2))))</f>
        <v/>
      </c>
      <c r="G83" s="544" t="str">
        <f>IFERROR(AVERAGE(F83:F86),"")</f>
        <v/>
      </c>
      <c r="H83" s="461"/>
      <c r="I83" s="462"/>
      <c r="J83" s="523"/>
      <c r="K83" s="536"/>
    </row>
    <row r="84" spans="1:14" s="14" customFormat="1" ht="15.75" x14ac:dyDescent="0.25">
      <c r="A84" s="454"/>
      <c r="B84" s="542"/>
      <c r="C84" s="171" t="s">
        <v>155</v>
      </c>
      <c r="D84" s="62"/>
      <c r="E84" s="202"/>
      <c r="F84" s="63" t="str">
        <f>IF(E84="","",IF(E84&gt;3,0,IF(E84=0,1,ROUND('Reference Standards'!C$49*E84+'Reference Standards'!C$50,2))))</f>
        <v/>
      </c>
      <c r="G84" s="545"/>
      <c r="H84" s="461"/>
      <c r="I84" s="462"/>
      <c r="J84" s="523"/>
      <c r="K84" s="536"/>
    </row>
    <row r="85" spans="1:14" s="14" customFormat="1" ht="15.75" x14ac:dyDescent="0.25">
      <c r="A85" s="454"/>
      <c r="B85" s="542"/>
      <c r="C85" s="171" t="s">
        <v>429</v>
      </c>
      <c r="D85" s="62"/>
      <c r="E85" s="202"/>
      <c r="F85" s="63" t="str">
        <f>IF(E85="","",IF(E85&gt;=30,1,ROUND(E85^2*'Reference Standards'!$C$82+E85*'Reference Standards'!$C$83+'Reference Standards'!$C$84,2)))</f>
        <v/>
      </c>
      <c r="G85" s="545"/>
      <c r="H85" s="461"/>
      <c r="I85" s="462"/>
      <c r="J85" s="523"/>
      <c r="K85" s="536"/>
    </row>
    <row r="86" spans="1:14" s="14" customFormat="1" ht="15.75" x14ac:dyDescent="0.25">
      <c r="A86" s="454"/>
      <c r="B86" s="543"/>
      <c r="C86" s="172" t="s">
        <v>391</v>
      </c>
      <c r="D86" s="64"/>
      <c r="E86" s="203"/>
      <c r="F86" s="168" t="str">
        <f>IF(E86="","",IF(B$16="Sandy",IF(E86&gt;1.94,0,IF(E86&lt;1.45,1,ROUND(E86*'Reference Standards'!$C$118+'Reference Standards'!$C$119,2))),IF(B$16="Silty",IF(E86&gt;1.83,0,IF(E86&lt;1.21,1,ROUND(E86*'Reference Standards'!$D$118+'Reference Standards'!$D$119,2))),IF(B$16="Clayey",IF(E86&gt;1.74,0,IF(E86&lt;0.82,1,ROUND(E86*'Reference Standards'!$E$118+'Reference Standards'!$E$119,2)))))))</f>
        <v/>
      </c>
      <c r="G86" s="546"/>
      <c r="H86" s="461"/>
      <c r="I86" s="462"/>
      <c r="J86" s="523"/>
      <c r="K86" s="536"/>
    </row>
    <row r="87" spans="1:14" s="14" customFormat="1" ht="15.75" x14ac:dyDescent="0.25">
      <c r="A87" s="547" t="s">
        <v>6</v>
      </c>
      <c r="B87" s="547" t="s">
        <v>7</v>
      </c>
      <c r="C87" s="66" t="s">
        <v>8</v>
      </c>
      <c r="D87" s="66"/>
      <c r="E87" s="202"/>
      <c r="F87" s="67" t="str">
        <f>IF(E87="","",ROUND(IF(E87&gt;1.6,0,IF(E87&lt;=1,1,E87^2*'Reference Standards'!K$14+E87*'Reference Standards'!K$15+'Reference Standards'!K$16)),2))</f>
        <v/>
      </c>
      <c r="G87" s="504" t="str">
        <f>IFERROR(AVERAGE(F87:F88),"")</f>
        <v/>
      </c>
      <c r="H87" s="504" t="str">
        <f>IFERROR(ROUND(AVERAGE(G87),2),"")</f>
        <v/>
      </c>
      <c r="I87" s="502" t="str">
        <f>IF(H87="","",IF(H87&gt;0.69,"Functioning",IF(H87&gt;0.29,"Functioning At Risk",IF(H87&gt;-1,"Not Functioning"))))</f>
        <v/>
      </c>
      <c r="J87" s="523"/>
      <c r="K87" s="536"/>
    </row>
    <row r="88" spans="1:14" s="14" customFormat="1" ht="15.75" x14ac:dyDescent="0.25">
      <c r="A88" s="549"/>
      <c r="B88" s="549"/>
      <c r="C88" s="66" t="s">
        <v>9</v>
      </c>
      <c r="D88" s="68"/>
      <c r="E88" s="203"/>
      <c r="F88" s="67" t="str">
        <f>IF(E88="","",(IF(OR(B$6="A",B$6="B",$B$6="Bc"),IF(E88&lt;1.2,0,IF(E88&gt;=2.2,1,ROUND(IF(E88&lt;1.4,E88*'Reference Standards'!$K$84+'Reference Standards'!$K$85,E88*'Reference Standards'!$L$84+'Reference Standards'!$L$85),2))),IF(OR(B$6="C",B$6="E"),IF(E88&lt;2,0,IF(E88&gt;=5,1,ROUND(IF(E88&lt;2.4,E88*'Reference Standards'!$L$49+'Reference Standards'!$L$50,E88*'Reference Standards'!$K$49+'Reference Standards'!$K$50),2)))))))</f>
        <v/>
      </c>
      <c r="G88" s="505"/>
      <c r="H88" s="505"/>
      <c r="I88" s="503"/>
      <c r="J88" s="523"/>
      <c r="K88" s="536"/>
    </row>
    <row r="89" spans="1:14" s="14" customFormat="1" ht="15.75" x14ac:dyDescent="0.25">
      <c r="A89" s="464" t="s">
        <v>27</v>
      </c>
      <c r="B89" s="553" t="s">
        <v>28</v>
      </c>
      <c r="C89" s="74" t="s">
        <v>422</v>
      </c>
      <c r="D89" s="308"/>
      <c r="E89" s="75"/>
      <c r="F89" s="310" t="str">
        <f>IF(E89="","",IF(E89&gt;700,1,IF(E89&lt;300,ROUND('Reference Standards'!$S$14*(E89^2)+'Reference Standards'!$S$15*E89+'Reference Standards'!$S$16,2),ROUND('Reference Standards'!$T$15*E89+'Reference Standards'!$T$16,2))))</f>
        <v/>
      </c>
      <c r="G89" s="550" t="str">
        <f>IFERROR(AVERAGE(F89:F90),"")</f>
        <v/>
      </c>
      <c r="H89" s="535" t="str">
        <f>IFERROR(ROUND(AVERAGE(G89:G107),2),"")</f>
        <v/>
      </c>
      <c r="I89" s="536" t="str">
        <f>IF(H89="","",IF(H89&gt;0.69,"Functioning",IF(H89&gt;0.29,"Functioning At Risk",IF(H89&gt;-1,"Not Functioning"))))</f>
        <v/>
      </c>
      <c r="J89" s="523"/>
      <c r="K89" s="536"/>
    </row>
    <row r="90" spans="1:14" s="14" customFormat="1" ht="15.75" x14ac:dyDescent="0.25">
      <c r="A90" s="465"/>
      <c r="B90" s="554"/>
      <c r="C90" s="77" t="s">
        <v>394</v>
      </c>
      <c r="D90" s="309"/>
      <c r="E90" s="65"/>
      <c r="F90" s="311" t="str">
        <f>IF(E90="","",IF(E90&gt;=30,1,IF(E90&lt;16,ROUND('Reference Standards'!$S$47*(E90^2)+'Reference Standards'!$S$48*E90+'Reference Standards'!$S$49,2),ROUND('Reference Standards'!$T$48*E90+'Reference Standards'!$T$49,2))))</f>
        <v/>
      </c>
      <c r="G90" s="552"/>
      <c r="H90" s="535"/>
      <c r="I90" s="536"/>
      <c r="J90" s="523"/>
      <c r="K90" s="536"/>
    </row>
    <row r="91" spans="1:14" ht="15.75" x14ac:dyDescent="0.25">
      <c r="A91" s="465"/>
      <c r="B91" s="465" t="s">
        <v>51</v>
      </c>
      <c r="C91" s="71" t="s">
        <v>92</v>
      </c>
      <c r="D91" s="78"/>
      <c r="E91" s="167"/>
      <c r="F91" s="72" t="str">
        <f>IF(E91="","",ROUND(IF(E91&gt;0.7,0,IF(E91&lt;=0.1,1,E91^3*'Reference Standards'!S$81+E91^2*'Reference Standards'!S$82+E91*'Reference Standards'!S$83+'Reference Standards'!S$84)),2))</f>
        <v/>
      </c>
      <c r="G91" s="551" t="str">
        <f>IFERROR(IF(E91="",AVERAGE(F92:F93),IF(E92="",F91,MIN(F91,AVERAGE(F92:F93)))),"")</f>
        <v/>
      </c>
      <c r="H91" s="535"/>
      <c r="I91" s="536"/>
      <c r="J91" s="523"/>
      <c r="K91" s="536"/>
      <c r="N91" s="14"/>
    </row>
    <row r="92" spans="1:14" ht="15.75" x14ac:dyDescent="0.25">
      <c r="A92" s="465"/>
      <c r="B92" s="465"/>
      <c r="C92" s="71" t="s">
        <v>52</v>
      </c>
      <c r="D92" s="71"/>
      <c r="E92" s="202"/>
      <c r="F92" s="72" t="str">
        <f>IF(E92="","",IF(OR(E92="Ex/Ex",E92="Ex/VH"),0, IF(OR(E92="Ex/H",E92="VH/Ex",E92="VH/VH", E92="H/Ex",E92="H/VH",E92="M/Ex"),0.1,IF(OR(E92="Ex/M",E92="VH/H",E92="H/H", E92="M/VH"),0.2, IF(OR(E92="Ex/L",E92="VH/M",E92="H/M", E92="M/H",E92="L/Ex"),0.3, IF(OR(E92="Ex/VL",E92="VH/L",E92="H/L"),0.4, IF(OR(E92="VH/VL",E92="H/VL",E92="M/M", E92="L/VH"),0.5, IF(OR(E92="M/L",E92="L/H"),0.6, IF(OR(E92="M/VL",E92="L/M"),0.7, IF(OR(E92="L/L",E92="L/VL"),1))))))))))</f>
        <v/>
      </c>
      <c r="G92" s="551"/>
      <c r="H92" s="535"/>
      <c r="I92" s="536"/>
      <c r="J92" s="523"/>
      <c r="K92" s="536"/>
      <c r="N92" s="14"/>
    </row>
    <row r="93" spans="1:14" ht="15.75" x14ac:dyDescent="0.25">
      <c r="A93" s="465"/>
      <c r="B93" s="465"/>
      <c r="C93" s="73" t="s">
        <v>102</v>
      </c>
      <c r="D93" s="79"/>
      <c r="E93" s="203"/>
      <c r="F93" s="80" t="str">
        <f>IF(E93="","",ROUND(IF(E93&gt;40,0,IF(E93&lt;5,1,E93^3*'Reference Standards'!S$116+E93^2*'Reference Standards'!S$117+E93*'Reference Standards'!S$118+'Reference Standards'!S$119)),2))</f>
        <v/>
      </c>
      <c r="G93" s="551"/>
      <c r="H93" s="535"/>
      <c r="I93" s="536"/>
      <c r="J93" s="523"/>
      <c r="K93" s="536"/>
    </row>
    <row r="94" spans="1:14" s="14" customFormat="1" ht="15.75" x14ac:dyDescent="0.25">
      <c r="A94" s="465"/>
      <c r="B94" s="464" t="s">
        <v>53</v>
      </c>
      <c r="C94" s="74" t="s">
        <v>120</v>
      </c>
      <c r="D94" s="78"/>
      <c r="E94" s="167"/>
      <c r="F94" s="90" t="str">
        <f>IF(E94="","",ROUND(IF(E94&gt;90,1,E94^2*'Reference Standards'!S$151+E94*'Reference Standards'!S$152+'Reference Standards'!S$153),2))</f>
        <v/>
      </c>
      <c r="G94" s="550" t="str">
        <f>IFERROR(AVERAGE(F94:F101),"")</f>
        <v/>
      </c>
      <c r="H94" s="535"/>
      <c r="I94" s="536"/>
      <c r="J94" s="523"/>
      <c r="K94" s="536"/>
      <c r="N94"/>
    </row>
    <row r="95" spans="1:14" s="14" customFormat="1" ht="15.75" x14ac:dyDescent="0.25">
      <c r="A95" s="465"/>
      <c r="B95" s="465"/>
      <c r="C95" s="76" t="s">
        <v>121</v>
      </c>
      <c r="D95" s="71"/>
      <c r="E95" s="202"/>
      <c r="F95" s="72" t="str">
        <f>IF(E95="","",ROUND(IF(E95&gt;90,1,E95^2*'Reference Standards'!S$151+E95*'Reference Standards'!S$152+'Reference Standards'!S$153),2))</f>
        <v/>
      </c>
      <c r="G95" s="551"/>
      <c r="H95" s="535"/>
      <c r="I95" s="536"/>
      <c r="J95" s="523"/>
      <c r="K95" s="536"/>
    </row>
    <row r="96" spans="1:14" s="14" customFormat="1" ht="15.75" x14ac:dyDescent="0.25">
      <c r="A96" s="465"/>
      <c r="B96" s="465"/>
      <c r="C96" s="76" t="s">
        <v>430</v>
      </c>
      <c r="D96" s="71"/>
      <c r="E96" s="202"/>
      <c r="F96" s="72" t="str">
        <f>IF(E96="","",ROUND(IF(OR(B$6="A",B$6="B",B$6="Bc"),IF(E96&gt;=50,1, IF(E96&lt;30, E96*'Reference Standards'!#REF!+'Reference Standards'!#REF!, E96*'Reference Standards'!#REF!+'Reference Standards'!#REF!)), IF(E96&gt;=150,1,IF(E96&lt;48, E96^2*'Reference Standards'!S$220+E96*'Reference Standards'!S$221+'Reference Standards'!S$222, E96*'Reference Standards'!T$220+'Reference Standards'!T$221))),2))</f>
        <v/>
      </c>
      <c r="G96" s="551"/>
      <c r="H96" s="535"/>
      <c r="I96" s="536"/>
      <c r="J96" s="523"/>
      <c r="K96" s="536"/>
    </row>
    <row r="97" spans="1:14" s="14" customFormat="1" ht="15.75" x14ac:dyDescent="0.25">
      <c r="A97" s="465"/>
      <c r="B97" s="465"/>
      <c r="C97" s="76" t="s">
        <v>431</v>
      </c>
      <c r="D97" s="71"/>
      <c r="E97" s="202"/>
      <c r="F97" s="72" t="str">
        <f>IF(E97="","",ROUND(IF(OR(B$6="A",B$6="B",B$6="Bc"),IF(E97&gt;=50,1, IF(E97&lt;30, E97*'Reference Standards'!#REF!+'Reference Standards'!#REF!, E97*'Reference Standards'!#REF!+'Reference Standards'!#REF!)), IF(E97&gt;=150,1,IF(E97&lt;45, E97^2*'Reference Standards'!S$220+E97*'Reference Standards'!S$221+'Reference Standards'!S$222, E97*'Reference Standards'!T$220+'Reference Standards'!T$221))),2))</f>
        <v/>
      </c>
      <c r="G97" s="551"/>
      <c r="H97" s="535"/>
      <c r="I97" s="536"/>
      <c r="J97" s="523"/>
      <c r="K97" s="536"/>
      <c r="N97"/>
    </row>
    <row r="98" spans="1:14" s="14" customFormat="1" ht="15.75" x14ac:dyDescent="0.25">
      <c r="A98" s="465"/>
      <c r="B98" s="465"/>
      <c r="C98" s="71" t="s">
        <v>128</v>
      </c>
      <c r="D98" s="71"/>
      <c r="E98" s="202"/>
      <c r="F98" s="72" t="str">
        <f>IF(E98="","",ROUND(IF(E98&gt;100,1,E98^2*'Reference Standards'!S$185+E98*'Reference Standards'!S$186+'Reference Standards'!S$187),2))</f>
        <v/>
      </c>
      <c r="G98" s="551"/>
      <c r="H98" s="535"/>
      <c r="I98" s="536"/>
      <c r="J98" s="523"/>
      <c r="K98" s="536"/>
    </row>
    <row r="99" spans="1:14" s="14" customFormat="1" ht="15.75" x14ac:dyDescent="0.25">
      <c r="A99" s="465"/>
      <c r="B99" s="465"/>
      <c r="C99" s="71" t="s">
        <v>129</v>
      </c>
      <c r="D99" s="71"/>
      <c r="E99" s="202"/>
      <c r="F99" s="72" t="str">
        <f>IF(E99="","",ROUND(IF(E99&gt;100,1,E99^2*'Reference Standards'!S$185+E99*'Reference Standards'!S$186+'Reference Standards'!S$187),2))</f>
        <v/>
      </c>
      <c r="G99" s="551"/>
      <c r="H99" s="535"/>
      <c r="I99" s="536"/>
      <c r="J99" s="523"/>
      <c r="K99" s="536"/>
    </row>
    <row r="100" spans="1:14" s="14" customFormat="1" ht="15.75" x14ac:dyDescent="0.25">
      <c r="A100" s="465"/>
      <c r="B100" s="465"/>
      <c r="C100" s="76" t="s">
        <v>165</v>
      </c>
      <c r="D100" s="71"/>
      <c r="E100" s="202"/>
      <c r="F100" s="72" t="str">
        <f>IF(E100="","",ROUND(IF(E100&gt;=300,0.5,E100*'Reference Standards'!S$253),2))</f>
        <v/>
      </c>
      <c r="G100" s="551"/>
      <c r="H100" s="535"/>
      <c r="I100" s="536"/>
      <c r="J100" s="523"/>
      <c r="K100" s="536"/>
      <c r="M100" s="21"/>
      <c r="N100"/>
    </row>
    <row r="101" spans="1:14" s="14" customFormat="1" ht="15.75" x14ac:dyDescent="0.25">
      <c r="A101" s="465"/>
      <c r="B101" s="466"/>
      <c r="C101" s="77" t="s">
        <v>166</v>
      </c>
      <c r="D101" s="71"/>
      <c r="E101" s="202"/>
      <c r="F101" s="72" t="str">
        <f>IF(E101="","",ROUND(IF(E101&gt;=300,0.5,E101*'Reference Standards'!S$253),2))</f>
        <v/>
      </c>
      <c r="G101" s="552"/>
      <c r="H101" s="535"/>
      <c r="I101" s="536"/>
      <c r="J101" s="523"/>
      <c r="K101" s="536"/>
      <c r="N101"/>
    </row>
    <row r="102" spans="1:14" s="14" customFormat="1" ht="15.75" x14ac:dyDescent="0.25">
      <c r="A102" s="465"/>
      <c r="B102" s="69" t="s">
        <v>130</v>
      </c>
      <c r="C102" s="89" t="s">
        <v>168</v>
      </c>
      <c r="D102" s="70"/>
      <c r="E102" s="53"/>
      <c r="F102" s="234" t="str">
        <f>IF(E102="","",IF(B$9="Gravel",IF(E102&gt;0.1,1,IF(E102&lt;=0.01,0,ROUND(E102*'Reference Standards'!$S$289+'Reference Standards'!$S$290,2)))))</f>
        <v/>
      </c>
      <c r="G102" s="100" t="str">
        <f>IFERROR(AVERAGE(F102),"")</f>
        <v/>
      </c>
      <c r="H102" s="535"/>
      <c r="I102" s="536"/>
      <c r="J102" s="523"/>
      <c r="K102" s="536"/>
    </row>
    <row r="103" spans="1:14" s="14" customFormat="1" ht="15.75" x14ac:dyDescent="0.25">
      <c r="A103" s="465"/>
      <c r="B103" s="464" t="s">
        <v>54</v>
      </c>
      <c r="C103" s="78" t="s">
        <v>55</v>
      </c>
      <c r="D103" s="78"/>
      <c r="E103" s="209"/>
      <c r="F103" s="299" t="str">
        <f>IF(E103="","",   IF(AND($B$6="E",$B$9="Gravel"),ROUND(IF(OR(E103&lt;=2.3,E103&gt;=10.1),0,IF(E103&lt;4,E103*'Reference Standards'!$S$325+'Reference Standards'!$S$326,IF(E103&lt;=7.5,1,E103*'Reference Standards'!$T$325+'Reference Standards'!$T$326))),2),    IF(AND($B$6="E",$B$9="Sand"),ROUND(IF(OR(E103&lt;3,E103&gt;6.7),0,IF(E103&lt;=5,1,E103*'Reference Standards'!$S$357+'Reference Standards'!$S$358)),2),    IF(AND($B$6="C",OR($B$9="Gravel",$B$9="Sand")),ROUND(IF(OR(E103&lt;=2.3,E103&gt;=8.1),0,IF(E103&lt;4,E103*'Reference Standards'!$S$391+'Reference Standards'!$S$392,IF(E103&lt;=5.5,1,E103*'Reference Standards'!$T$391+'Reference Standards'!$T$392))),2), IF(AND(OR($B$6="Bc",$B$6="B"),$B$9="Gravel"),ROUND(IF(E103&gt;=7.1,0,IF(E103&gt;4.5,E103*'Reference Standards'!$S$423+'Reference Standards'!$S$424,1)),2))))))</f>
        <v/>
      </c>
      <c r="G103" s="550" t="str">
        <f>IFERROR(AVERAGE(F103:F106),"")</f>
        <v/>
      </c>
      <c r="H103" s="535"/>
      <c r="I103" s="536"/>
      <c r="J103" s="523"/>
      <c r="K103" s="536"/>
    </row>
    <row r="104" spans="1:14" s="14" customFormat="1" ht="15.75" x14ac:dyDescent="0.25">
      <c r="A104" s="465"/>
      <c r="B104" s="465"/>
      <c r="C104" s="71" t="s">
        <v>56</v>
      </c>
      <c r="D104" s="71"/>
      <c r="E104" s="208"/>
      <c r="F104" s="300" t="str">
        <f>IF(E104="","",IF(E104&lt;1.25,0,IF(E104&gt;=2.8,1,IF(AND(OR(B$6="B", B$6="Bc"),$B$9="Gravel"),ROUND(E104^2*'Reference Standards'!S$489+E104*'Reference Standards'!S$490+'Reference Standards'!S$491,2), IF(AND(OR(B$6="C", B$6="E"),OR($B$9="Gravel",$B$9="Sand")), ROUND(IF(E104&lt;=1.7,E104*'Reference Standards'!$S$457+'Reference Standards'!$S$458,E104*'Reference Standards'!$T$457+'Reference Standards'!$T$458),2)    )))))</f>
        <v/>
      </c>
      <c r="G104" s="551"/>
      <c r="H104" s="535"/>
      <c r="I104" s="536"/>
      <c r="J104" s="523"/>
      <c r="K104" s="536"/>
    </row>
    <row r="105" spans="1:14" s="14" customFormat="1" ht="15.75" x14ac:dyDescent="0.25">
      <c r="A105" s="465"/>
      <c r="B105" s="465"/>
      <c r="C105" s="71" t="s">
        <v>423</v>
      </c>
      <c r="D105" s="71"/>
      <c r="E105" s="208"/>
      <c r="F105" s="282" t="str">
        <f>IF(E105="","",IF(AND($B$6="E",OR($B$9="Sand",$B$9="Gravel")), IF(OR(E105&lt;20,E105&gt;73),0,ROUND(IF(E105&lt;25,E105*'Reference Standards'!$S$526+'Reference Standards'!$S$527,IF(E105&lt;35,1,E105^2*'Reference Standards'!$T$525+E105*'Reference Standards'!$T$526+'Reference Standards'!$T$527)),2)),  IF(AND($B$6="C",OR($B$9="Sand",$B$9="Gravel")), IF(OR(E105&lt;19,E105&gt;63),0,ROUND(IF(E105&lt;43,E105*'Reference Standards'!$S$560+'Reference Standards'!$S$561,IF(E105&lt;52,1,E105*'Reference Standards'!$T$560+'Reference Standards'!$T$561)),2)),IF(AND(OR($B$6="B",$B$6="Bc"),$B$9="Gravel"), IF(OR(E105&lt;18,E105&gt;82),0,ROUND(IF(E105&lt;30,E105^2*'Reference Standards'!$S$594+E105*'Reference Standards'!$S$595+'Reference Standards'!$S$596,IF(E105&lt;41,1,E105*'Reference Standards'!$T$595+'Reference Standards'!$T$596)),2))   ))))</f>
        <v/>
      </c>
      <c r="G105" s="551"/>
      <c r="H105" s="535"/>
      <c r="I105" s="536"/>
      <c r="J105" s="523"/>
      <c r="K105" s="536"/>
    </row>
    <row r="106" spans="1:14" s="14" customFormat="1" ht="15.75" x14ac:dyDescent="0.25">
      <c r="A106" s="465"/>
      <c r="B106" s="466"/>
      <c r="C106" s="76" t="s">
        <v>254</v>
      </c>
      <c r="D106" s="79"/>
      <c r="E106" s="210"/>
      <c r="F106" s="283" t="str">
        <f>IF(E106="","",IF(E106&gt;=1.6,0,IF(E106&lt;=1,1,ROUND('Reference Standards'!$S$626*E106^3+'Reference Standards'!$S$627*E106^2+'Reference Standards'!$S$628*E106+'Reference Standards'!$S$629,2))))</f>
        <v/>
      </c>
      <c r="G106" s="552"/>
      <c r="H106" s="535"/>
      <c r="I106" s="536"/>
      <c r="J106" s="523"/>
      <c r="K106" s="536"/>
    </row>
    <row r="107" spans="1:14" ht="15.75" x14ac:dyDescent="0.25">
      <c r="A107" s="466"/>
      <c r="B107" s="277" t="s">
        <v>58</v>
      </c>
      <c r="C107" s="305" t="s">
        <v>57</v>
      </c>
      <c r="D107" s="79"/>
      <c r="E107" s="203"/>
      <c r="F107" s="80" t="str">
        <f>IF(E107="","",IF(AND(B$6="E",$B$9="Sand",$B$17="Unconfined Alluvial"),ROUND(IF(OR(E107&gt;1.8,E107&lt;1.3),0,IF(E107&lt;=1.6,1,E107*'Reference Standards'!S$660+'Reference Standards'!S$661)),2),    IF($B$17="Unconfined Alluvial",ROUND(IF(OR(E107&lt;1.2, E107&gt;1.5),0,IF(E107&lt;=1.4,1,E107*'Reference Standards'!$S$693+'Reference Standards'!$S$694)),2), IF($B$17="Confined Alluvial",ROUND(IF(E107&lt;1.15,0,IF(E107&lt;=1.4,E107*'Reference Standards'!$S$722+'Reference Standards'!$S$723,1)),2),  IF($B$17="Colluvial",ROUND(IF(E107&gt;1.3,0,IF(E107&gt;1.2,E107*'Reference Standards'!$S$753+'Reference Standards'!$S$754,1)),2) )))))</f>
        <v/>
      </c>
      <c r="G107" s="102" t="str">
        <f>IFERROR(AVERAGE(F107),"")</f>
        <v/>
      </c>
      <c r="H107" s="535"/>
      <c r="I107" s="536"/>
      <c r="J107" s="523"/>
      <c r="K107" s="536"/>
      <c r="L107" s="13"/>
    </row>
    <row r="108" spans="1:14" ht="15.75" x14ac:dyDescent="0.25">
      <c r="A108" s="527" t="s">
        <v>61</v>
      </c>
      <c r="B108" s="211" t="s">
        <v>103</v>
      </c>
      <c r="C108" s="87" t="s">
        <v>427</v>
      </c>
      <c r="D108" s="84"/>
      <c r="E108" s="53"/>
      <c r="F108" s="82" t="str">
        <f>IF(E108="","",ROUND(IF(E108&gt;=942,0,IF(E108&lt;=487,E108*'Reference Standards'!AB$15+'Reference Standards'!AB$16,E108*'Reference Standards'!$AC$15+'Reference Standards'!$AC$16)),2))</f>
        <v/>
      </c>
      <c r="G108" s="103" t="str">
        <f>IFERROR(AVERAGE(F108),"")</f>
        <v/>
      </c>
      <c r="H108" s="555" t="str">
        <f>IFERROR(ROUND(AVERAGE(G108:G111),2),"")</f>
        <v/>
      </c>
      <c r="I108" s="524" t="str">
        <f>IF(H108="","",IF(H108&gt;0.69,"Functioning",IF(H108&gt;0.29,"Functioning At Risk",IF(H108&gt;-1,"Not Functioning"))))</f>
        <v/>
      </c>
      <c r="J108" s="523"/>
      <c r="K108" s="536"/>
      <c r="L108" s="13"/>
      <c r="N108" s="14"/>
    </row>
    <row r="109" spans="1:14" s="14" customFormat="1" ht="15.75" x14ac:dyDescent="0.25">
      <c r="A109" s="528"/>
      <c r="B109" s="399" t="s">
        <v>476</v>
      </c>
      <c r="C109" s="81" t="s">
        <v>457</v>
      </c>
      <c r="D109" s="87"/>
      <c r="E109" s="203"/>
      <c r="F109" s="85" t="str">
        <f>IF(E109="","",IF(OR($B$7="65abei", $B$7="65j", $B$7="66d", $B$7="66e", $B$7="66ik", $B$7="66f", $B$7="66g", $B$7="66j", $B$7="68a", $B$7="69de", $B$7="74b",AND(OR($B$7="67fhi", $B$7="67g"),$B$8&lt;=2),AND(OR($B$7="68c", $B$7="68d"),$B$14="January - June")),IF(E109&gt;93,0,IF(E109&lt;13,1,ROUND('Reference Standards'!$AB$53*E109^2+'Reference Standards'!$AB$54*E109+'Reference Standards'!$AB$55,2))),   IF(OR(AND(OR($B$7="67fhi", $B$7="67g",$B$7="71f",$B$7="71g",$B$7="71h"),$B$8&gt;2),AND(OR($B$7="68c", $B$7="68d"),$B$14="July - December"),$B$7="73a",$B$7="73b"),IF(E109&gt;94,0,IF(E109&lt;17,1,ROUND('Reference Standards'!$AC$53*E109^2+'Reference Standards'!$AC$54*E109+'Reference Standards'!$AC$55,2))),    IF(OR(AND(OR($B$7="68b",$B$7="71i"),$B$8&gt;2), $B$7="71e"),IF(E109&gt;91,0,IF(E109&lt;24,1,ROUND('Reference Standards'!$AD$53*E109^2+'Reference Standards'!$AD$54*E109+'Reference Standards'!$AD$55,2))),  IF(OR(AND(OR($B$7="71f",$B$7="71g",$B$7="71h",$B$7="71i"),$B$8&lt;=2), AND($B$7="74a",$B$8&gt;2)),IF(E109&gt;95,0,IF(E109&lt;=36,1,ROUND('Reference Standards'!$AE$53*E109^2+'Reference Standards'!$AE$54*E109+'Reference Standards'!$AE$55,2))))))))</f>
        <v/>
      </c>
      <c r="G109" s="206" t="str">
        <f>IFERROR(AVERAGE(F109:F109),"")</f>
        <v/>
      </c>
      <c r="H109" s="556"/>
      <c r="I109" s="525"/>
      <c r="J109" s="523"/>
      <c r="K109" s="536"/>
      <c r="L109" s="21"/>
    </row>
    <row r="110" spans="1:14" s="14" customFormat="1" ht="15.75" x14ac:dyDescent="0.25">
      <c r="A110" s="528"/>
      <c r="B110" s="83" t="s">
        <v>93</v>
      </c>
      <c r="C110" s="84" t="s">
        <v>326</v>
      </c>
      <c r="D110" s="84"/>
      <c r="E110" s="202"/>
      <c r="F110" s="85" t="str">
        <f>IF(E110="","",IF(OR($B$7="66e",$B$7="66f",$B$7="66g"), ROUND(IF(E110&gt;=0.61,0,IF(E110&lt;=0.01,1,IF(E110&lt;=0.06,E110*'Reference Standards'!$AD$197+'Reference Standards'!$AD$198,E110^2*'Reference Standards'!$AB$196+E110*'Reference Standards'!$AB$197+'Reference Standards'!$AB$198))),2),  IF($B$7="68b", ROUND(IF(E110&gt;=1.1,0,IF(E110&lt;=0.17,1,IF(E110&lt;=0.22,E110*'Reference Standards'!$AE$197+'Reference Standards'!$AE$198,E110^2*'Reference Standards'!$AC$196+E110*'Reference Standards'!$AC$197+'Reference Standards'!$AC$198))),2),IF($B$8&lt;=2.5,   IF($B$7="69de",ROUND(IF(E110&gt;=0.22,0,IF(E110&lt;=0.01,1,E110^2*'Reference Standards'!$AB$90+E110*'Reference Standards'!$AB$91+'Reference Standards'!$AB$92)),2),   IF($B$7="68c",ROUND(IF(E110&gt;=0.87,0,IF(E110&lt;=0.01,1,E110^2*'Reference Standards'!$AC$90+E110*'Reference Standards'!$AC$91+'Reference Standards'!$AC$92)),2),   IF($B$7="68a",ROUND(IF(E110&gt;=0.81,0,IF(E110&lt;=0.01,1,E110^2*'Reference Standards'!$AD$90+E110*'Reference Standards'!$AD$91+'Reference Standards'!$AD$92)),2),   IF($B$7="65abei",ROUND(IF(E110&gt;=0.67,0,IF(E110&lt;=0.01,1,IF(E110&lt;=0.18,E110*'Reference Standards'!$AG$91+'Reference Standards'!$AG$92,E110*'Reference Standards'!$AE$91+'Reference Standards'!$AE$92))),2),   IF($B$7="65j",ROUND(IF(E110&gt;=0.32,0,IF(E110&lt;=0.01,1,IF(E110&lt;=0.25,E110*'Reference Standards'!$AH$91+'Reference Standards'!$AH$92,E110*'Reference Standards'!$AF$91+'Reference Standards'!$AF$92))),2),   IF($B$7="71f",ROUND(IF(E110&gt;=3,0,IF(E110&lt;=0,1,IF(E110&lt;=0.01,0.7,E110^2*'Reference Standards'!$AB$126+E110*'Reference Standards'!$AB$127+'Reference Standards'!$AB$128))),2),   IF($B$7="74a",ROUND(IF(E110&gt;=0.14,0,IF(E110&lt;=0.01,1,IF(E110&lt;=0.02,0.7,E110^2*'Reference Standards'!$AC$126+E110*'Reference Standards'!$AC$127+'Reference Standards'!$AC$128))),2),   IF(OR($B$7="67fhi",$B$7="67g"),ROUND(IF(E110&gt;=1.9,0,IF(E110&lt;=0.01,1,IF(E110&lt;=0.05,E110*'Reference Standards'!$AF$127+'Reference Standards'!$AF$128,E110^2*'Reference Standards'!$AD$126+E110*'Reference Standards'!$AD$127+'Reference Standards'!$AD$128))),2),   IF($B$7="73a",ROUND(IF(E110&gt;=1.44,0,IF(E110&lt;=0.01,1,IF(E110&lt;=0.12,E110*'Reference Standards'!$AG$127+'Reference Standards'!$AG$128,E110^2*'Reference Standards'!$AE$126+E110*'Reference Standards'!$AE$127+'Reference Standards'!$AE$128))),2),   IF($B$7="66d",ROUND(IF(E110&gt;=0.46,0,IF(E110&lt;=0.02,1,IF(E110&lt;=0.08,E110*'Reference Standards'!$AF$163+'Reference Standards'!$AF$164,E110^2*'Reference Standards'!$AB$162+E110*'Reference Standards'!$AB$163+'Reference Standards'!$AB$164))),2),   IF(OR($B$7="71g",$B$7="71h",$B$7="71i"),ROUND(IF(E110&gt;=3,0,IF(E110&lt;=0.06,1,IF(E110&lt;=0.24,E110*'Reference Standards'!$AG$163+'Reference Standards'!$AG$164, E110^2*'Reference Standards'!$AC$162+E110*'Reference Standards'!$AC$163+'Reference Standards'!$AC$164))),2),   IF($B$7="74b",ROUND(IF(E110&gt;=1.3,0,IF(E110&lt;=0.29,1,IF(E110&lt;=0.48,E110*'Reference Standards'!$AH$163+'Reference Standards'!$AH$164,E110^2*'Reference Standards'!$AD$162+E110*'Reference Standards'!$AD$163+'Reference Standards'!$AD$164))),2),   IF($B$7="71e",ROUND(IF(E110&gt;=4.3,0,IF(E110&lt;=0.53,1,IF(E110&lt;=0.67,E110*'Reference Standards'!$AI$163+'Reference Standards'!$AI$164,E110^2*'Reference Standards'!$AE$162+E110*'Reference Standards'!$AE$163+'Reference Standards'!$AE$164))),2)       ))))))))))))),IF($B$8&gt;2.5,    IF($B$7="73a",ROUND(IF(E110&gt;=0.55,0,IF(E110&lt;=0,1,E110^2*'Reference Standards'!$AB$232+E110*'Reference Standards'!$AB$233+'Reference Standards'!$AB$234)),2),   IF($B$7="68a",ROUND(IF(E110&gt;=0.54,0,IF(E110&lt;=0,1, IF(E110&lt;=0.01,0.85, E110^2*'Reference Standards'!$AC$232+E110*'Reference Standards'!$AC$233+'Reference Standards'!$AC$234))),2),   IF($B$7="74a",ROUND(IF(E110&gt;=0.47,0,IF(E110&lt;=0.01,1, IF(E110&lt;=0.02,0.7, E110^2*'Reference Standards'!$AD$232+E110*'Reference Standards'!$AD$233+'Reference Standards'!$AD$234))),2),    IF($B$7="69de",ROUND(IF(E110&gt;=0.26,0,IF(E110&lt;=0.01,1, IF(E110&lt;=0.02,0.85, E110^2*'Reference Standards'!$AE$232+E110*'Reference Standards'!$AE$233+'Reference Standards'!$AE$234))),2),   IF($B$7="71f",ROUND(IF(E110&gt;=0.87,0,IF(E110&lt;=0.01,1,IF(E110&lt;=0.04,E110*'Reference Standards'!$AF$269+'Reference Standards'!$AF$270,E110^2*'Reference Standards'!$AB$268+E110*'Reference Standards'!$AB$269+'Reference Standards'!$AB$270))),2),  IF($B$7="65abei",ROUND(IF(E110&gt;=0.82,0,IF(E110&lt;=0.01,1,IF(E110&lt;=0.06,E110*'Reference Standards'!$AG$269+'Reference Standards'!$AG$270,E110^2*'Reference Standards'!$AC$268+E110*'Reference Standards'!$AC$269+'Reference Standards'!$AC$270))),2),  IF($B$7="65j",ROUND(IF(E110&gt;=0.33,0,IF(E110&lt;=0.03,1,IF(E110&lt;=0.09,E110*'Reference Standards'!$AH$269+'Reference Standards'!$AH$270,E110^2*'Reference Standards'!$AD$268+E110*'Reference Standards'!$AD$269+'Reference Standards'!$AD$270))),2),  IF($B$7="68c",ROUND(IF(E110&gt;=0.7,0,IF(E110&lt;=0.07,1,IF(E110&lt;=0.12,E110*'Reference Standards'!$AI$269+'Reference Standards'!$AI$270,E110^2*'Reference Standards'!$AE$268+E110*'Reference Standards'!$AE$269+'Reference Standards'!$AE$270))),2),   IF(OR($B$7="67fhi",$B$7="67g"),ROUND(IF(E110&gt;=1.8,0,IF(E110&lt;=0.08,1,IF(E110&lt;=0.2,E110*'Reference Standards'!$AF$306+'Reference Standards'!$AF$307,E110^2*'Reference Standards'!$AB$305+E110*'Reference Standards'!$AB$306+'Reference Standards'!$AB$307))),2),   IF($B$7="74b",ROUND(IF(E110&gt;=0.96,0,IF(E110&lt;=0.12,1,IF(E110&lt;=0.16,E110*'Reference Standards'!$AG$306+'Reference Standards'!$AG$307,E110^2*'Reference Standards'!$AC$305+E110*'Reference Standards'!$AC$306+'Reference Standards'!$AC$307))),2),   IF($B$7="66d",ROUND(IF(E110&gt;=0.75,0,IF(E110&lt;=0.13,1,IF(E110&lt;=0.2,E110*'Reference Standards'!$AH$306+'Reference Standards'!$AH$307,E110^2*'Reference Standards'!$AD$305+E110*'Reference Standards'!$AD$306+'Reference Standards'!$AD$307))),2),    IF(OR($B$7="71g",$B$7="71h",$B$7="71i"),ROUND(IF(E110&gt;=1.68,0,IF(E110&lt;=0.08,1,IF(E110&lt;=0.23,E110*'Reference Standards'!$AI$306+'Reference Standards'!$AI$307,E110^2*'Reference Standards'!$AE$305+E110*'Reference Standards'!$AE$306+'Reference Standards'!$AE$307))),2),   IF($B$7="71e",ROUND(IF(E110&gt;=5.3,0,IF(E110&lt;=0.94,1,IF(E110&lt;=1.4,E110*'Reference Standards'!$AF$310+'Reference Standards'!$AF$311,E110^2*'Reference Standards'!$AB$309+E110*'Reference Standards'!$AB$310+'Reference Standards'!$AB$311))),2))    )))))))))))))))))</f>
        <v/>
      </c>
      <c r="G110" s="105" t="str">
        <f>IFERROR(AVERAGE(F110),"")</f>
        <v/>
      </c>
      <c r="H110" s="556"/>
      <c r="I110" s="525"/>
      <c r="J110" s="523"/>
      <c r="K110" s="536"/>
      <c r="L110" s="21"/>
      <c r="N110"/>
    </row>
    <row r="111" spans="1:14" s="14" customFormat="1" ht="15.75" x14ac:dyDescent="0.25">
      <c r="A111" s="529"/>
      <c r="B111" s="86" t="s">
        <v>94</v>
      </c>
      <c r="C111" s="81" t="s">
        <v>325</v>
      </c>
      <c r="D111" s="81"/>
      <c r="E111" s="167"/>
      <c r="F111" s="82" t="str">
        <f>IF(E111="","",IF($B$8&gt;2.5,IF(OR($B$7="71h",$B$7="71i",$B$7="73a",$B$7="74a"),IF(E111&lt;=0.01,1,IF(OR($B$7="71h",$B$7="71i"),IF(E111&gt;0.37,0,ROUND(IF(E111&gt;0.03,'Reference Standards'!$AB$425*E111^2+'Reference Standards'!$AB$426*E111+'Reference Standards'!$AB$427,'Reference Standards'!$AF$426*E111+'Reference Standards'!$AF$427),2)),  IF($B$7="73a",IF(E111&gt;0.405,0,ROUND(IF(E111&gt;0.046,'Reference Standards'!$AC$425*E111^2+'Reference Standards'!$AC$426*E111+'Reference Standards'!$AC$427,'Reference Standards'!$AG$426*E111+'Reference Standards'!$AG$427),2)),IF($B$7="74a",IF(E111&gt;0.3,0,ROUND(IF(E111&gt;0.052,'Reference Standards'!$AD$425*E111^2+'Reference Standards'!$AD$426*E111+'Reference Standards'!$AD$427,'Reference Standards'!$AH$426*E111+'Reference Standards'!$AH$427),2)))))),   IF(E111&lt;=0.002,1,IF(OR($B$7="66d",$B$7="66e",$B$7="66g"),IF(E111&gt;0.053,0,ROUND(E111^2*'Reference Standards'!$AB$347+E111*'Reference Standards'!$AB$348+'Reference Standards'!$AB$349,2)), IF($B$7="68b",IF(E111&gt;0.05,0,ROUND(E111^2*'Reference Standards'!$AC$347+E111*'Reference Standards'!$AC$348+'Reference Standards'!$AC$349,2)),  IF(OR($B$7="68a",$B$7="68c"),IF(E111&gt;0.07,0,ROUND(E111^2*'Reference Standards'!$AD$347+E111*'Reference Standards'!$AD$348+'Reference Standards'!$AD$349,2)), IF(OR($B$7="71f",$B$7="71g"),IF(E111&gt;0.13,0,ROUND(IF(E111&gt;0.042,E111*'Reference Standards'!$AE$348+'Reference Standards'!$AE$349,E111*'Reference Standards'!$AF$348+'Reference Standards'!$AF$349),2)), IF($B$7="67fhi",IF(E111&gt;0.16,0,ROUND(E111^2*'Reference Standards'!$AG$347+E111*'Reference Standards'!$AG$348+'Reference Standards'!$AG$349,2)),  IF($B$7="65j",IF(E111&gt;0.035,0,ROUND(IF(E111&lt;=0.003,0.7,E111^2*'Reference Standards'!$AB$387+E111*'Reference Standards'!$AB$388+'Reference Standards'!$AB$389),2)),IF($B$7="69de",IF(E111&gt;0.037,0,ROUND(IF(E111&lt;=0.003,0.7,E111^2*'Reference Standards'!$AC$387+E111*'Reference Standards'!$AC$388+'Reference Standards'!$AC$389),2)),IF($B$7="71e",IF(E111&gt;0.23,0,ROUND(IF(E111&lt;=0.003,0.7,E111^2*'Reference Standards'!$AD$387+E111*'Reference Standards'!$AD$388+'Reference Standards'!$AD$389),2)),IF($B$7="66f",IF(E111&gt;0.06,0,ROUND(IF(E111&lt;=0.003,0.85,IF(E111&lt;=0.004,0.7,E111^2*'Reference Standards'!$AE$387+E111*'Reference Standards'!$AE$388+'Reference Standards'!$AE$389)),2)),IF($B$7="67g",IF(E111&gt;0.11,0,ROUND(IF(E111&lt;=0.01,E111*'Reference Standards'!$AH$388+'Reference Standards'!$AH$389, E111^2*'Reference Standards'!$AF$387+E111*'Reference Standards'!$AF$388+'Reference Standards'!$AF$389),2)),IF($B$7="74b",IF(E111&gt;0.49,0,ROUND(IF(E111&lt;=0.01,E111*'Reference Standards'!$AH$388+'Reference Standards'!$AH$389, E111^2*'Reference Standards'!$AG$387+E111*'Reference Standards'!$AG$388+'Reference Standards'!$AG$389),2)),IF($B$7="65abei",IF(E111&gt;0.199,0,ROUND(IF(E111&lt;=0.01,E111*'Reference Standards'!$AI$426+'Reference Standards'!$AI$427, E111^2*'Reference Standards'!$AE$425+E111*'Reference Standards'!$AE$426+'Reference Standards'!$AE$427),2))    )))))))))))))),      IF($B$8&lt;=2.5, IF(OR($B$7="66d",$B$7="66e",$B$7="66g"),IF(E111&gt;0.05,0,ROUND(IF(E111&lt;=0.002,1,IF(E111&lt;=0.005,E111*'Reference Standards'!$AF$464+'Reference Standards'!$AF$465, E111^2*'Reference Standards'!$AB$463+E111*'Reference Standards'!$AB$464+'Reference Standards'!$AB$465)),2)), IF($B$7="67fhi",IF(E111&gt;0.1,0,ROUND(IF(E111&lt;=0.002,1,IF(E111&lt;=0.006,E111*'Reference Standards'!$AG$464+'Reference Standards'!$AG$465, E111^2*'Reference Standards'!$AC$463+E111*'Reference Standards'!$AC$464+'Reference Standards'!$AC$465)),2)), IF($B$7="65abei",IF(E111&gt;0.13,0,ROUND(IF(E111&lt;=0.003,1,IF(E111&lt;=0.008,E111*'Reference Standards'!$AH$464+'Reference Standards'!$AH$465, E111^2*'Reference Standards'!$AD$463+E111*'Reference Standards'!$AD$464+'Reference Standards'!$AD$465)),2)), IF($B$7="68b",IF(E111&gt;0.043,0,ROUND(IF(E111&lt;=0.004,1, IF(E111&lt;=0.005,0.7, E111^2*'Reference Standards'!$AE$463+E111*'Reference Standards'!$AE$464+'Reference Standards'!$AE$465)),2)), IF($B$7="69de",IF(E111&gt;=0.034,0,ROUND(IF(E111&lt;=0.003,1, IF(E111&lt;=0.006,E111*'Reference Standards'!$AG$500+'Reference Standards'!$AG$501, E111*'Reference Standards'!$AB$500+'Reference Standards'!$AB$501)),2)), IF(OR($B$7="68a",$B$7="68c"),IF(E111&gt;0.202,0,ROUND(IF(E111&lt;=0.003,1, IF(E111&lt;=0.006,E111*'Reference Standards'!$AG$500+'Reference Standards'!$AG$501, IF(E111&gt;=0.04,E111*'Reference Standards'!$AC$500+'Reference Standards'!$AC$501,E111*'Reference Standards'!$AE$500+'Reference Standards'!$AE$501))),2)), IF(OR($B$7="71f",$B$7="71g"),IF(E111&gt;0.631,0,ROUND(IF(E111&lt;=0.003,1, IF(E111&lt;=0.006,E111*'Reference Standards'!$AG$500+'Reference Standards'!$AG$501, IF(E111&gt;=0.17,E111*'Reference Standards'!$AD$500+'Reference Standards'!$AD$501,E111*'Reference Standards'!$AF$500+'Reference Standards'!$AF$501))),2)),   IF($B$7="71e",IF(E111&gt;1.23,0,ROUND(IF(E111&lt;=0.004,1,IF(E111&lt;=0.006,E111*'Reference Standards'!$AF$538+'Reference Standards'!$AF$539, E111^2*'Reference Standards'!$AB$537+E111*'Reference Standards'!$AB$538+'Reference Standards'!$AB$539)),2)), IF($B$7="67g",IF(E111&gt;0.11,0,ROUND(IF(E111&lt;=0.006,1,IF(E111&lt;=0.011,E111*'Reference Standards'!$AG$538+'Reference Standards'!$AG$539, E111^2*'Reference Standards'!$AC$537+E111*'Reference Standards'!$AC$538+'Reference Standards'!$AC$539)),2)), IF($B$7="65j",IF(E111&gt;0.046,0,ROUND(IF(E111&lt;=0.007,1,IF(E111&lt;=0.012,E111*'Reference Standards'!$AH$538+'Reference Standards'!$AH$539, E111^2*'Reference Standards'!$AD$537+E111*'Reference Standards'!$AD$538+'Reference Standards'!$AD$539)),2)), IF($B$7="66f",IF(E111&gt;0.081,0,ROUND(IF(E111&lt;=0.008,1,IF(E111&lt;=0.011,E111*'Reference Standards'!$AI$538+'Reference Standards'!$AI$539, E111^2*'Reference Standards'!$AE$537+E111*'Reference Standards'!$AE$538+'Reference Standards'!$AE$539)),2)), IF(OR($B$7="71h",$B$7="71i"),IF(E111&gt;0.37,0,ROUND(IF(E111&lt;=0.013,1,IF(E111&lt;=0.032,E111*'Reference Standards'!$AH$576+'Reference Standards'!$AH$577, IF(E111&lt;=0.3,E111*'Reference Standards'!$AF$576+'Reference Standards'!$AF$577,E111*'Reference Standards'!$AB$576+'Reference Standards'!$AB$577))),2)), IF($B$7="73a",IF(E111&gt;0.448,0,ROUND(IF(E111&lt;=0.071,1,IF(E111&lt;=0.086,E111*'Reference Standards'!$AJ$576+'Reference Standards'!$AJ$577, IF(E111&lt;=0.165,E111*'Reference Standards'!$AG$576+'Reference Standards'!$AG$577,E111*'Reference Standards'!$AE$576+'Reference Standards'!$AE$577))),2)),  IF($B$7="74b",IF(E111&gt;0.43,0,ROUND(IF(E111&lt;=0.018,1,IF(E111&lt;=0.019,0.85, IF(E111&lt;=0.02,0.7, E111^2*'Reference Standards'!$AC$575+E111*'Reference Standards'!$AC$576+'Reference Standards'!$AC$577))),2)), IF($B$7="74a",IF(E111&gt;0.217,0,ROUND(IF(E111&lt;=0.02,1,IF(E111&lt;=0.033,E111*'Reference Standards'!$AI$576+'Reference Standards'!$AI$577, E111^2*'Reference Standards'!$AD$575+E111*'Reference Standards'!$AD$576+'Reference Standards'!$AD$577)),2))     ))))))))))))))))))</f>
        <v/>
      </c>
      <c r="G111" s="103" t="str">
        <f>IFERROR(AVERAGE(F111),"")</f>
        <v/>
      </c>
      <c r="H111" s="557"/>
      <c r="I111" s="526"/>
      <c r="J111" s="523"/>
      <c r="K111" s="536"/>
      <c r="L111" s="21"/>
      <c r="N111"/>
    </row>
    <row r="112" spans="1:14" ht="15.75" x14ac:dyDescent="0.25">
      <c r="A112" s="538" t="s">
        <v>62</v>
      </c>
      <c r="B112" s="517" t="s">
        <v>432</v>
      </c>
      <c r="C112" s="154" t="s">
        <v>419</v>
      </c>
      <c r="D112" s="155"/>
      <c r="E112" s="209"/>
      <c r="F112" s="219" t="str">
        <f>IF(E112="","",IF(OR(B$7="73a",B$7="73b"),IF(E112&lt;1,0,IF(E112&gt;=30,1,ROUND(IF(E112&lt;22,'Reference Standards'!$AL$16*E112+'Reference Standards'!$AL$17,'Reference Standards'!$AM$16*E112+'Reference Standards'!$AM$17),2))), IF(E112&lt;1,0, IF(E112&gt;=42,1, ROUND(IF(E112&lt;32,'Reference Standards'!$AN$16*E112+'Reference Standards'!$AN$17,'Reference Standards'!$AO$16*E112+'Reference Standards'!$AO$17),2)))))</f>
        <v/>
      </c>
      <c r="G112" s="515" t="str">
        <f>IFERROR(AVERAGE(F112:F115),"")</f>
        <v/>
      </c>
      <c r="H112" s="537" t="str">
        <f>IFERROR(ROUND(AVERAGE(G112:G117),2),"")</f>
        <v/>
      </c>
      <c r="I112" s="462" t="str">
        <f>IF(H112="","",IF(H112&gt;0.69,"Functioning",IF(H112&gt;0.29,"Functioning At Risk",IF(H112&gt;-1,"Not Functioning"))))</f>
        <v/>
      </c>
      <c r="J112" s="523"/>
      <c r="K112" s="536"/>
      <c r="L112" s="21"/>
    </row>
    <row r="113" spans="1:12" s="14" customFormat="1" ht="15.75" x14ac:dyDescent="0.25">
      <c r="A113" s="539"/>
      <c r="B113" s="518"/>
      <c r="C113" s="217" t="s">
        <v>424</v>
      </c>
      <c r="D113" s="218"/>
      <c r="E113" s="208"/>
      <c r="F113" s="221" t="str">
        <f>IF(E113="","",IF(AND($B$7="74b",$B$8&lt;=2),IF(E113&lt;0,0,IF(E113&gt;15.6,0.69,ROUND('Reference Standards'!$AL$54*E113^2+'Reference Standards'!$AL$55*E113+'Reference Standards'!$AL$56,2))),IF(AND($B$7="65abei",$B$8&lt;=2),IF(E113&lt;0,0,IF(E113&gt;=20,0.69,ROUND('Reference Standards'!$AM$54*E113^2+'Reference Standards'!$AM$55*E113+'Reference Standards'!$AM$56,2))),IF(OR(AND($B$7="74a",$B$8&gt;2,$B$14="January - June"),AND($B$7="71i",$B$8&gt;2,$B$15="SQBANK")),IF(E113&lt;0,0,IF(E113&gt;24.7,0.69,ROUND('Reference Standards'!$AN$54*E113^2+'Reference Standards'!$AN$55*E113+'Reference Standards'!$AN$56,2))),IF(OR($B$7="74b",$B$7="65abei"),IF(E113&lt;0,0,IF(E113&gt;32.7,0.69,ROUND('Reference Standards'!$AO$54*E113^2+'Reference Standards'!$AO$55*E113+'Reference Standards'!$AO$56,2))),IF(AND($B$7="68b",$B$8&gt;2),IF(E113&lt;0,0,IF(E113&gt;41.2,0.69,ROUND('Reference Standards'!$AP$54*E113^2+'Reference Standards'!$AP$55*E113+'Reference Standards'!$AP$56,2))),IF(OR(AND($B$7="71i",$B$8&lt;=2),AND(OR($B$7="68c",$B$7="68d"),$B$14="January - June")),IF(E113&lt;0,0,IF(E113&gt;49.2,0.69,ROUND('Reference Standards'!$AL$94*E113^2+'Reference Standards'!$AL$95*E113+'Reference Standards'!$AL$96,2))),IF(OR(AND($B$7="68a",$B$14="January - June"),AND(OR($B$7="68c",$B$7="68d"),$B$14="July - December")),IF(E113&lt;0,0,IF(E113&gt;53.4,0.69,ROUND('Reference Standards'!$AM$94*E113^2+'Reference Standards'!$AM$95*E113+'Reference Standards'!$AM$96,2))),IF(OR(AND($B$7="71i",$B$8&gt;2,$B$15="SQKICK"),AND(OR($B$7="67fhi",$B$7="67g"),$B$8&lt;=2),$B$7="65j"),IF(E113&lt;0,0,IF(E113&gt;57.8,0.69,ROUND('Reference Standards'!$AN$94*E113^2+'Reference Standards'!$AN$95*E113+'Reference Standards'!$AN$96,2))),IF(OR(AND($B$7="74a",$B$8&gt;2,$B$14="July - December"),AND(OR($B$7="67fhi",$B$7="67g"),$B$8&gt;2),$B$7="69de"),IF(E113&lt;0,0,IF(E113&gt;62.5,0.69,ROUND('Reference Standards'!$AO$94*E113^2+'Reference Standards'!$AO$95*E113+'Reference Standards'!$AO$96,2))),  IF(OR($B$7="66d",$B$7="66e",$B$7="66ik",$B$7="71e",$B$7="71f",$B$7="71g",$B$7="71h"),IF(E113&lt;0,0,IF(E113&gt;66.5,0.69,ROUND('Reference Standards'!$AP$94*E113^2+'Reference Standards'!$AP$95*E113+'Reference Standards'!$AP$96,2))),IF(OR($B$7="66f",$B$7="66g",$B$7="66j",AND($B$7="68a",$B$14="July - December")), IF(E113&lt;0,0,IF(E113&gt;69,0.69,ROUND('Reference Standards'!$AQ$94*E113^2+'Reference Standards'!$AQ$95*E113+'Reference Standards'!$AQ$96,2))))   )))))))))))</f>
        <v/>
      </c>
      <c r="G113" s="520"/>
      <c r="H113" s="537"/>
      <c r="I113" s="462"/>
      <c r="J113" s="523"/>
      <c r="K113" s="536"/>
      <c r="L113" s="21"/>
    </row>
    <row r="114" spans="1:12" s="14" customFormat="1" ht="15.75" x14ac:dyDescent="0.25">
      <c r="A114" s="539"/>
      <c r="B114" s="518"/>
      <c r="C114" s="217" t="s">
        <v>428</v>
      </c>
      <c r="D114" s="218"/>
      <c r="E114" s="208"/>
      <c r="F114" s="221" t="str">
        <f>IF(E114="","",IF(AND($B$7="74b",$B$8&lt;=2),IF(E114&lt;0,0,IF(E114&gt;8.1,0.69,ROUND('Reference Standards'!$AL$131*E114^2+'Reference Standards'!$AL$132*E114+'Reference Standards'!$AL$133,2))),IF(OR($B$7="73a",$B$7="73b"),IF(E114&lt;0,0,IF(E114&gt;=28,0.69,ROUND('Reference Standards'!$AM$131*E114^2+'Reference Standards'!$AM$132*E114+'Reference Standards'!$AM$133,2))),IF(AND($B$7="74a",$B$8&gt;2,$B$14="January - June"),IF(E114&lt;0,0,IF(E114&gt;=32.5,0.69,ROUND('Reference Standards'!$AN$131*E114^2+'Reference Standards'!$AN$132*E114+'Reference Standards'!$AN$133,2))),IF(AND($B$7="71i",$B$8&gt;2,$B$15="SQBANK"),IF(E114&lt;0,0,IF(E114&gt;=37,0.69,ROUND('Reference Standards'!$AO$131*E114^2+'Reference Standards'!$AO$132*E114+'Reference Standards'!$AO$133,2))),IF(OR(AND(OR($B$7="65abei",$B$7="74b"),$B$8&gt;2),AND($B$7="71i",$B$8&gt;2,$B$15="SQKICK")),IF(E114&lt;0,0,IF(E114&gt;42.6,0.69,ROUND('Reference Standards'!$AP$131*E114^2+'Reference Standards'!$AP$132*E114+'Reference Standards'!$AP$133,2))),     IF(OR(AND($B$7="65abei",$B$8&lt;=2),AND(OR($B$7="68c",$B$7="68d"),$B$14="July - December"),$B$7="71e"),IF(E114&lt;0,0,IF(E114&gt;=48,0.69,ROUND('Reference Standards'!$AL$171*E114^2+'Reference Standards'!$AL$172*E114+'Reference Standards'!$AL$173,2))),IF(OR($B$7="65j",$B$7="67fhi",$B$7="67g",AND($B$7="74a",$B$14="July - December",$B$8&gt;2),AND($B$7="71i",$B$8&lt;=2)),IF(E114&lt;0,0,IF(E114&gt;=53,0.69,ROUND('Reference Standards'!$AM$171*E114^2+'Reference Standards'!$AM$172*E114+'Reference Standards'!$AM$173,2))),IF(OR(AND(OR($B$7="68b",$B$7="71f",$B$7="71g",$B$7="71h"),$B$8&gt;2),$B$7="68a"),IF(E114&lt;0,0,IF(E114&gt;=57,0.69,ROUND('Reference Standards'!$AN$171*E114^2+'Reference Standards'!$AN$172*E114+'Reference Standards'!$AN$173,2))),IF(OR($B$7="66f",$B$7="66g",$B$7="66j",AND(OR($B$7="71f",$B$7="71g",$B$7="71h"),$B$8&lt;=2)),IF(E114&lt;0,0,IF(E114&gt;=60,0.69,ROUND('Reference Standards'!$AO$171*E114^2+'Reference Standards'!$AO$172*E114+'Reference Standards'!$AO$173,2))),  IF(OR($B$7="66d",$B$7="66e",$B$7="66ik", AND(OR($B$7="68c",$B$7="68d"),$B$14="January - June"),AND($B$7="69de",$B$14="July - December")),IF(E114&lt;0,0,IF(E114&gt;=67.5,0.69,ROUND('Reference Standards'!$AP$171*E114^2+'Reference Standards'!$AP$172*E114+'Reference Standards'!$AP$173,2))),IF(AND($B$7="69de",$B$14="January - June"), IF(E114&lt;0,0,IF(E114&gt;=72,0.69,ROUND('Reference Standards'!$AQ$171*E114^2+'Reference Standards'!$AQ$172*E114+'Reference Standards'!$AQ$173,2))))   )))))))))))</f>
        <v/>
      </c>
      <c r="G114" s="520"/>
      <c r="H114" s="537"/>
      <c r="I114" s="462"/>
      <c r="J114" s="523"/>
      <c r="K114" s="536"/>
      <c r="L114" s="21"/>
    </row>
    <row r="115" spans="1:12" s="14" customFormat="1" ht="15.75" x14ac:dyDescent="0.25">
      <c r="A115" s="539"/>
      <c r="B115" s="519"/>
      <c r="C115" s="156" t="s">
        <v>425</v>
      </c>
      <c r="D115" s="218"/>
      <c r="E115" s="210"/>
      <c r="F115" s="221" t="str">
        <f>IF(E115="","",IF(OR($B$7="67fhi",$B$7="67g",$B$7="71e",$B$7="73a",$B$7="73b",AND(OR($B$7="71f",$B$7="71g",$B$7="71h"),$B$8&gt;2)),IF(E115&gt;100,0,IF(E115&lt;15,0.69,ROUND('Reference Standards'!$AL$208*E115^2+'Reference Standards'!$AL$209*E115+'Reference Standards'!$AL$210,2))),  IF(OR($B$7="66d",$B$7="66e",$B$7="66ik",$B$7="66f",$B$7="66g",$B$7="66j",$B$7="68a",$B$7="68c",$B$7="68d",AND($B$7="69de",$B$14="July - December"), AND($B$7="71i",$B$8&lt;=2), AND($B$7="71i",$B$8&gt;2,$B$15="SQBANK" ), AND($B$7="74a",$B$8&gt;2,$B$14="July - December") ),IF(E115&gt;100,0,IF(E115&lt;19,0.69,ROUND('Reference Standards'!$AM$208*E115^2+'Reference Standards'!$AM$209*E115+'Reference Standards'!$AM$210,2))),    IF(OR(AND($B$7="69de",$B$14="January - June"),AND($B$7="71i",$B$8&gt;2,$B$15="SQKICK" )),IF(E115&gt;100,0,IF(E115&lt;22,0.69,ROUND('Reference Standards'!$AN$208*E115^2+'Reference Standards'!$AN$209*E115+'Reference Standards'!$AN$210,2))),    IF(OR($B$7="65j",AND($B$7="68b",$B$8&gt;2)),IF(E115&gt;100,0,IF(E115&lt;24,0.69,ROUND('Reference Standards'!$AO$208*E115^2+'Reference Standards'!$AO$209*E115+'Reference Standards'!$AO$210,2))),    IF(AND(OR($B$7="65abei",$B$7="71f",$B$7="71g",$B$7="71h"),$B$8&lt;=2),IF(E115&gt;95,0,IF(E115&lt;33,0.69,ROUND('Reference Standards'!$AL$246*E115^2+'Reference Standards'!$AL$247*E115+'Reference Standards'!$AL$248,2))),   IF(AND(OR($B$7="65abei",$B$7="74b"),$B$8&gt;2),IF(E115&gt;97,0,IF(E115&lt;36,0.69,ROUND('Reference Standards'!$AM$246*E115^2+'Reference Standards'!$AM$247*E115+'Reference Standards'!$AM$248,2))),  IF(AND($B$7="74a",$B$14="January - June",$B$8&gt;2),IF(E115&gt;93,0,IF(E115&lt;52,0.69,ROUND('Reference Standards'!$AN$246*E115^2+'Reference Standards'!$AN$247*E115+'Reference Standards'!$AN$248,2))),   IF(AND($B$7="74b",$B$8&lt;=2),IF(E115&gt;97,0,IF(E115&lt;62,0.69,ROUND('Reference Standards'!$AO$246*E115^2+'Reference Standards'!$AO$247*E115+'Reference Standards'!$AO$248,2)))  )))))))))</f>
        <v/>
      </c>
      <c r="G115" s="516"/>
      <c r="H115" s="537"/>
      <c r="I115" s="462"/>
      <c r="J115" s="523"/>
      <c r="K115" s="536"/>
      <c r="L115" s="21"/>
    </row>
    <row r="116" spans="1:12" s="14" customFormat="1" ht="15.75" x14ac:dyDescent="0.25">
      <c r="A116" s="539"/>
      <c r="B116" s="530" t="s">
        <v>86</v>
      </c>
      <c r="C116" s="154" t="s">
        <v>255</v>
      </c>
      <c r="D116" s="155"/>
      <c r="E116" s="209"/>
      <c r="F116" s="219" t="str">
        <f>IF(E116="","",IF(E116=1,0.15,IF(E116=3,0.5,IF(E116=5,0.85,0))))</f>
        <v/>
      </c>
      <c r="G116" s="515" t="str">
        <f>IFERROR(AVERAGE(F116:F117),"")</f>
        <v/>
      </c>
      <c r="H116" s="537"/>
      <c r="I116" s="462"/>
      <c r="J116" s="523"/>
      <c r="K116" s="536"/>
      <c r="L116" s="21"/>
    </row>
    <row r="117" spans="1:12" ht="15.75" x14ac:dyDescent="0.25">
      <c r="A117" s="540"/>
      <c r="B117" s="530"/>
      <c r="C117" s="156" t="s">
        <v>420</v>
      </c>
      <c r="D117" s="88"/>
      <c r="E117" s="210"/>
      <c r="F117" s="220" t="str">
        <f>IF(E117="","",IF(E117=1,0.15,IF(E117=3,0.5,IF(E117=5,0.85,0))))</f>
        <v/>
      </c>
      <c r="G117" s="516"/>
      <c r="H117" s="537"/>
      <c r="I117" s="462"/>
      <c r="J117" s="523"/>
      <c r="K117" s="536"/>
      <c r="L117" s="21"/>
    </row>
    <row r="118" spans="1:12" x14ac:dyDescent="0.25">
      <c r="H118" s="14"/>
      <c r="J118" s="14"/>
      <c r="K118" s="14"/>
      <c r="L118" s="21"/>
    </row>
  </sheetData>
  <sheetProtection algorithmName="SHA-512" hashValue="gGqWnvWuvCL6YeJ87DFLnOi+SXQ//HNH4DjhfI+vCOaIMyLFj0BtUG3ElBtURP36zR2TyRUD3LZK3MGtzHU6Aw==" saltValue="bdPawuMN8F2WrgNOPXN8FA==" spinCount="100000" sheet="1" objects="1" scenarios="1"/>
  <dataConsolidate/>
  <mergeCells count="113">
    <mergeCell ref="A87:A88"/>
    <mergeCell ref="A89:A107"/>
    <mergeCell ref="G51:G53"/>
    <mergeCell ref="K82:K117"/>
    <mergeCell ref="H68:H71"/>
    <mergeCell ref="A108:A111"/>
    <mergeCell ref="H108:H111"/>
    <mergeCell ref="I108:I111"/>
    <mergeCell ref="B94:B101"/>
    <mergeCell ref="B103:B106"/>
    <mergeCell ref="I82:I86"/>
    <mergeCell ref="G94:G101"/>
    <mergeCell ref="G87:G88"/>
    <mergeCell ref="G80:K80"/>
    <mergeCell ref="G103:G106"/>
    <mergeCell ref="I87:I88"/>
    <mergeCell ref="H89:H107"/>
    <mergeCell ref="J82:J117"/>
    <mergeCell ref="H87:H88"/>
    <mergeCell ref="G91:G93"/>
    <mergeCell ref="G72:G75"/>
    <mergeCell ref="I89:I107"/>
    <mergeCell ref="G89:G90"/>
    <mergeCell ref="H112:H117"/>
    <mergeCell ref="A32:A35"/>
    <mergeCell ref="A36:A37"/>
    <mergeCell ref="G54:G61"/>
    <mergeCell ref="G40:K40"/>
    <mergeCell ref="K42:K77"/>
    <mergeCell ref="A82:A86"/>
    <mergeCell ref="A72:A77"/>
    <mergeCell ref="A47:A48"/>
    <mergeCell ref="C81:D81"/>
    <mergeCell ref="B49:B50"/>
    <mergeCell ref="A80:F80"/>
    <mergeCell ref="J42:J77"/>
    <mergeCell ref="A21:A22"/>
    <mergeCell ref="I68:I71"/>
    <mergeCell ref="A68:A71"/>
    <mergeCell ref="B116:B117"/>
    <mergeCell ref="B76:B77"/>
    <mergeCell ref="G76:G77"/>
    <mergeCell ref="G47:G48"/>
    <mergeCell ref="H49:H67"/>
    <mergeCell ref="I49:I67"/>
    <mergeCell ref="H72:H77"/>
    <mergeCell ref="I72:I77"/>
    <mergeCell ref="A112:A117"/>
    <mergeCell ref="B43:B46"/>
    <mergeCell ref="G43:G46"/>
    <mergeCell ref="B83:B86"/>
    <mergeCell ref="G83:G86"/>
    <mergeCell ref="J23:K25"/>
    <mergeCell ref="J26:K28"/>
    <mergeCell ref="H82:H86"/>
    <mergeCell ref="A49:A67"/>
    <mergeCell ref="B47:B48"/>
    <mergeCell ref="B51:B53"/>
    <mergeCell ref="B54:B61"/>
    <mergeCell ref="I47:I48"/>
    <mergeCell ref="H47:H48"/>
    <mergeCell ref="G63:G66"/>
    <mergeCell ref="G49:G50"/>
    <mergeCell ref="F29:G31"/>
    <mergeCell ref="H29:H31"/>
    <mergeCell ref="I29:I31"/>
    <mergeCell ref="G116:G117"/>
    <mergeCell ref="B112:B115"/>
    <mergeCell ref="G112:G115"/>
    <mergeCell ref="B63:B66"/>
    <mergeCell ref="B72:B75"/>
    <mergeCell ref="B87:B88"/>
    <mergeCell ref="H35:H37"/>
    <mergeCell ref="B89:B90"/>
    <mergeCell ref="I112:I117"/>
    <mergeCell ref="B91:B93"/>
    <mergeCell ref="I32:I34"/>
    <mergeCell ref="C41:D41"/>
    <mergeCell ref="J21:K22"/>
    <mergeCell ref="I35:I37"/>
    <mergeCell ref="J35:K37"/>
    <mergeCell ref="F23:G25"/>
    <mergeCell ref="H23:H25"/>
    <mergeCell ref="I23:I25"/>
    <mergeCell ref="F26:G28"/>
    <mergeCell ref="H26:H28"/>
    <mergeCell ref="D21:D22"/>
    <mergeCell ref="C21:C22"/>
    <mergeCell ref="J32:K34"/>
    <mergeCell ref="D2:J2"/>
    <mergeCell ref="D3:J3"/>
    <mergeCell ref="F21:G22"/>
    <mergeCell ref="A40:F40"/>
    <mergeCell ref="A42:A46"/>
    <mergeCell ref="I21:I22"/>
    <mergeCell ref="I26:I28"/>
    <mergeCell ref="H21:H22"/>
    <mergeCell ref="A1:B2"/>
    <mergeCell ref="D1:J1"/>
    <mergeCell ref="H42:H46"/>
    <mergeCell ref="I42:I46"/>
    <mergeCell ref="A23:A24"/>
    <mergeCell ref="A26:A31"/>
    <mergeCell ref="D4:J4"/>
    <mergeCell ref="A20:D20"/>
    <mergeCell ref="D6:F6"/>
    <mergeCell ref="B21:B22"/>
    <mergeCell ref="D18:K18"/>
    <mergeCell ref="F20:K20"/>
    <mergeCell ref="J29:K31"/>
    <mergeCell ref="F32:G34"/>
    <mergeCell ref="F35:G37"/>
    <mergeCell ref="H32:H34"/>
  </mergeCells>
  <conditionalFormatting sqref="A41:C41 I72:I76 B70:B71 A36 C60:D60 B63:D63 A47:D47 F67 F64 I87 I108 I89:I90 H49:I50 H47:I47 L40:M45 H41:K45 G40 H78:K79 A81:C81 G80 I112:I116 A49:D49 C48:D48 D92 I82:I85 A1 F14:F15 C19:M19 A38:A39 C38:M39 J21 J23 J26 J29 F11:F12 D14:D15 L1:M4 J12:K12 H6:H10 H14:H16 C18:D18 L17:M18 K7:K10 K14:K16 D11 E41:G41 E81:K81 L37 D87:D88 F52 C1:D3 F92 B68 C54:D56 M93:M106 B94:B96 E92:E96 L78:M92 C11:C17 C69:D70 C64:D64 D65:D66 D112:D116 C75:D75 D103:D108 A19 F112:F117 B67:D67 A50 C50:D52 F47:F50 D94:D96 F54:F57 A72:A76 D74 C72:D73 C4:C9 F87:F88 L46:L77 L107:L118 J32 B32 F32 A3:A16 B3:B10 C109:C110">
    <cfRule type="beginsWith" dxfId="1725" priority="976" stopIfTrue="1" operator="beginsWith" text="Functioning At Risk">
      <formula>LEFT(A1,LEN("Functioning At Risk"))="Functioning At Risk"</formula>
    </cfRule>
    <cfRule type="beginsWith" dxfId="1724" priority="977" stopIfTrue="1" operator="beginsWith" text="Not Functioning">
      <formula>LEFT(A1,LEN("Not Functioning"))="Not Functioning"</formula>
    </cfRule>
    <cfRule type="containsText" dxfId="1723" priority="978" operator="containsText" text="Functioning">
      <formula>NOT(ISERROR(SEARCH("Functioning",A1)))</formula>
    </cfRule>
  </conditionalFormatting>
  <conditionalFormatting sqref="D6">
    <cfRule type="beginsWith" dxfId="1722" priority="949" stopIfTrue="1" operator="beginsWith" text="Functioning At Risk">
      <formula>LEFT(D6,LEN("Functioning At Risk"))="Functioning At Risk"</formula>
    </cfRule>
    <cfRule type="beginsWith" dxfId="1721" priority="950" stopIfTrue="1" operator="beginsWith" text="Not Functioning">
      <formula>LEFT(D6,LEN("Not Functioning"))="Not Functioning"</formula>
    </cfRule>
    <cfRule type="containsText" dxfId="1720" priority="951" operator="containsText" text="Functioning">
      <formula>NOT(ISERROR(SEARCH("Functioning",D6)))</formula>
    </cfRule>
  </conditionalFormatting>
  <conditionalFormatting sqref="D100">
    <cfRule type="beginsWith" dxfId="1719" priority="915" stopIfTrue="1" operator="beginsWith" text="Functioning At Risk">
      <formula>LEFT(D100,LEN("Functioning At Risk"))="Functioning At Risk"</formula>
    </cfRule>
    <cfRule type="beginsWith" dxfId="1718" priority="916" stopIfTrue="1" operator="beginsWith" text="Not Functioning">
      <formula>LEFT(D100,LEN("Not Functioning"))="Not Functioning"</formula>
    </cfRule>
    <cfRule type="containsText" dxfId="1717" priority="917" operator="containsText" text="Functioning">
      <formula>NOT(ISERROR(SEARCH("Functioning",D100)))</formula>
    </cfRule>
  </conditionalFormatting>
  <conditionalFormatting sqref="B36">
    <cfRule type="beginsWith" dxfId="1716" priority="868" stopIfTrue="1" operator="beginsWith" text="Functioning At Risk">
      <formula>LEFT(B36,LEN("Functioning At Risk"))="Functioning At Risk"</formula>
    </cfRule>
    <cfRule type="beginsWith" dxfId="1715" priority="869" stopIfTrue="1" operator="beginsWith" text="Not Functioning">
      <formula>LEFT(B36,LEN("Not Functioning"))="Not Functioning"</formula>
    </cfRule>
    <cfRule type="containsText" dxfId="1714" priority="870" operator="containsText" text="Functioning">
      <formula>NOT(ISERROR(SEARCH("Functioning",B36)))</formula>
    </cfRule>
  </conditionalFormatting>
  <conditionalFormatting sqref="D117">
    <cfRule type="beginsWith" dxfId="1713" priority="859" stopIfTrue="1" operator="beginsWith" text="Functioning At Risk">
      <formula>LEFT(D117,LEN("Functioning At Risk"))="Functioning At Risk"</formula>
    </cfRule>
    <cfRule type="beginsWith" dxfId="1712" priority="860" stopIfTrue="1" operator="beginsWith" text="Not Functioning">
      <formula>LEFT(D117,LEN("Not Functioning"))="Not Functioning"</formula>
    </cfRule>
    <cfRule type="containsText" dxfId="1711" priority="861" operator="containsText" text="Functioning">
      <formula>NOT(ISERROR(SEARCH("Functioning",D117)))</formula>
    </cfRule>
  </conditionalFormatting>
  <conditionalFormatting sqref="B37">
    <cfRule type="beginsWith" dxfId="1710" priority="841" stopIfTrue="1" operator="beginsWith" text="Functioning At Risk">
      <formula>LEFT(B37,LEN("Functioning At Risk"))="Functioning At Risk"</formula>
    </cfRule>
    <cfRule type="beginsWith" dxfId="1709" priority="842" stopIfTrue="1" operator="beginsWith" text="Not Functioning">
      <formula>LEFT(B37,LEN("Not Functioning"))="Not Functioning"</formula>
    </cfRule>
    <cfRule type="containsText" dxfId="1708" priority="843" operator="containsText" text="Functioning">
      <formula>NOT(ISERROR(SEARCH("Functioning",B37)))</formula>
    </cfRule>
  </conditionalFormatting>
  <conditionalFormatting sqref="B51">
    <cfRule type="beginsWith" dxfId="1707" priority="838" stopIfTrue="1" operator="beginsWith" text="Functioning At Risk">
      <formula>LEFT(B51,LEN("Functioning At Risk"))="Functioning At Risk"</formula>
    </cfRule>
    <cfRule type="beginsWith" dxfId="1706" priority="839" stopIfTrue="1" operator="beginsWith" text="Not Functioning">
      <formula>LEFT(B51,LEN("Not Functioning"))="Not Functioning"</formula>
    </cfRule>
    <cfRule type="containsText" dxfId="1705" priority="840" operator="containsText" text="Functioning">
      <formula>NOT(ISERROR(SEARCH("Functioning",B51)))</formula>
    </cfRule>
  </conditionalFormatting>
  <conditionalFormatting sqref="D93">
    <cfRule type="beginsWith" dxfId="1704" priority="835" stopIfTrue="1" operator="beginsWith" text="Functioning At Risk">
      <formula>LEFT(D93,LEN("Functioning At Risk"))="Functioning At Risk"</formula>
    </cfRule>
    <cfRule type="beginsWith" dxfId="1703" priority="836" stopIfTrue="1" operator="beginsWith" text="Not Functioning">
      <formula>LEFT(D93,LEN("Not Functioning"))="Not Functioning"</formula>
    </cfRule>
    <cfRule type="containsText" dxfId="1702" priority="837" operator="containsText" text="Functioning">
      <formula>NOT(ISERROR(SEARCH("Functioning",D93)))</formula>
    </cfRule>
  </conditionalFormatting>
  <conditionalFormatting sqref="D109">
    <cfRule type="beginsWith" dxfId="1701" priority="784" stopIfTrue="1" operator="beginsWith" text="Functioning At Risk">
      <formula>LEFT(D109,LEN("Functioning At Risk"))="Functioning At Risk"</formula>
    </cfRule>
    <cfRule type="beginsWith" dxfId="1700" priority="785" stopIfTrue="1" operator="beginsWith" text="Not Functioning">
      <formula>LEFT(D109,LEN("Not Functioning"))="Not Functioning"</formula>
    </cfRule>
    <cfRule type="containsText" dxfId="1699" priority="786" operator="containsText" text="Functioning">
      <formula>NOT(ISERROR(SEARCH("Functioning",D109)))</formula>
    </cfRule>
  </conditionalFormatting>
  <conditionalFormatting sqref="B35">
    <cfRule type="beginsWith" dxfId="1698" priority="745" stopIfTrue="1" operator="beginsWith" text="Functioning At Risk">
      <formula>LEFT(B35,LEN("Functioning At Risk"))="Functioning At Risk"</formula>
    </cfRule>
    <cfRule type="beginsWith" dxfId="1697" priority="746" stopIfTrue="1" operator="beginsWith" text="Not Functioning">
      <formula>LEFT(B35,LEN("Not Functioning"))="Not Functioning"</formula>
    </cfRule>
    <cfRule type="containsText" dxfId="1696" priority="747" operator="containsText" text="Functioning">
      <formula>NOT(ISERROR(SEARCH("Functioning",B35)))</formula>
    </cfRule>
  </conditionalFormatting>
  <conditionalFormatting sqref="B34">
    <cfRule type="beginsWith" dxfId="1695" priority="742" stopIfTrue="1" operator="beginsWith" text="Functioning At Risk">
      <formula>LEFT(B34,LEN("Functioning At Risk"))="Functioning At Risk"</formula>
    </cfRule>
    <cfRule type="beginsWith" dxfId="1694" priority="743" stopIfTrue="1" operator="beginsWith" text="Not Functioning">
      <formula>LEFT(B34,LEN("Not Functioning"))="Not Functioning"</formula>
    </cfRule>
    <cfRule type="containsText" dxfId="1693" priority="744" operator="containsText" text="Functioning">
      <formula>NOT(ISERROR(SEARCH("Functioning",B34)))</formula>
    </cfRule>
  </conditionalFormatting>
  <conditionalFormatting sqref="D12">
    <cfRule type="beginsWith" dxfId="1692" priority="708" stopIfTrue="1" operator="beginsWith" text="Functioning At Risk">
      <formula>LEFT(D12,LEN("Functioning At Risk"))="Functioning At Risk"</formula>
    </cfRule>
    <cfRule type="beginsWith" dxfId="1691" priority="709" stopIfTrue="1" operator="beginsWith" text="Not Functioning">
      <formula>LEFT(D12,LEN("Not Functioning"))="Not Functioning"</formula>
    </cfRule>
    <cfRule type="containsText" dxfId="1690" priority="710" operator="containsText" text="Functioning">
      <formula>NOT(ISERROR(SEARCH("Functioning",D12)))</formula>
    </cfRule>
  </conditionalFormatting>
  <conditionalFormatting sqref="D97">
    <cfRule type="beginsWith" dxfId="1689" priority="692" stopIfTrue="1" operator="beginsWith" text="Functioning At Risk">
      <formula>LEFT(D97,LEN("Functioning At Risk"))="Functioning At Risk"</formula>
    </cfRule>
    <cfRule type="beginsWith" dxfId="1688" priority="693" stopIfTrue="1" operator="beginsWith" text="Not Functioning">
      <formula>LEFT(D97,LEN("Not Functioning"))="Not Functioning"</formula>
    </cfRule>
    <cfRule type="containsText" dxfId="1687" priority="694" operator="containsText" text="Functioning">
      <formula>NOT(ISERROR(SEARCH("Functioning",D97)))</formula>
    </cfRule>
  </conditionalFormatting>
  <conditionalFormatting sqref="C57:D57">
    <cfRule type="beginsWith" dxfId="1686" priority="683" stopIfTrue="1" operator="beginsWith" text="Functioning At Risk">
      <formula>LEFT(C57,LEN("Functioning At Risk"))="Functioning At Risk"</formula>
    </cfRule>
    <cfRule type="beginsWith" dxfId="1685" priority="684" stopIfTrue="1" operator="beginsWith" text="Not Functioning">
      <formula>LEFT(C57,LEN("Not Functioning"))="Not Functioning"</formula>
    </cfRule>
    <cfRule type="containsText" dxfId="1684" priority="685" operator="containsText" text="Functioning">
      <formula>NOT(ISERROR(SEARCH("Functioning",C57)))</formula>
    </cfRule>
  </conditionalFormatting>
  <conditionalFormatting sqref="C61:D61">
    <cfRule type="beginsWith" dxfId="1683" priority="680" stopIfTrue="1" operator="beginsWith" text="Functioning At Risk">
      <formula>LEFT(C61,LEN("Functioning At Risk"))="Functioning At Risk"</formula>
    </cfRule>
    <cfRule type="beginsWith" dxfId="1682" priority="681" stopIfTrue="1" operator="beginsWith" text="Not Functioning">
      <formula>LEFT(C61,LEN("Not Functioning"))="Not Functioning"</formula>
    </cfRule>
    <cfRule type="containsText" dxfId="1681" priority="682" operator="containsText" text="Functioning">
      <formula>NOT(ISERROR(SEARCH("Functioning",C61)))</formula>
    </cfRule>
  </conditionalFormatting>
  <conditionalFormatting sqref="D101">
    <cfRule type="beginsWith" dxfId="1680" priority="674" stopIfTrue="1" operator="beginsWith" text="Functioning At Risk">
      <formula>LEFT(D101,LEN("Functioning At Risk"))="Functioning At Risk"</formula>
    </cfRule>
    <cfRule type="beginsWith" dxfId="1679" priority="675" stopIfTrue="1" operator="beginsWith" text="Not Functioning">
      <formula>LEFT(D101,LEN("Not Functioning"))="Not Functioning"</formula>
    </cfRule>
    <cfRule type="containsText" dxfId="1678" priority="676" operator="containsText" text="Functioning">
      <formula>NOT(ISERROR(SEARCH("Functioning",D101)))</formula>
    </cfRule>
  </conditionalFormatting>
  <conditionalFormatting sqref="D91">
    <cfRule type="beginsWith" dxfId="1677" priority="659" stopIfTrue="1" operator="beginsWith" text="Functioning At Risk">
      <formula>LEFT(D91,LEN("Functioning At Risk"))="Functioning At Risk"</formula>
    </cfRule>
    <cfRule type="beginsWith" dxfId="1676" priority="660" stopIfTrue="1" operator="beginsWith" text="Not Functioning">
      <formula>LEFT(D91,LEN("Not Functioning"))="Not Functioning"</formula>
    </cfRule>
    <cfRule type="containsText" dxfId="1675" priority="661" operator="containsText" text="Functioning">
      <formula>NOT(ISERROR(SEARCH("Functioning",D91)))</formula>
    </cfRule>
  </conditionalFormatting>
  <conditionalFormatting sqref="B110:B111 B103 A87:B87 A89:A90 B116 A112:A116">
    <cfRule type="beginsWith" dxfId="1674" priority="637" stopIfTrue="1" operator="beginsWith" text="Functioning At Risk">
      <formula>LEFT(A87,LEN("Functioning At Risk"))="Functioning At Risk"</formula>
    </cfRule>
    <cfRule type="beginsWith" dxfId="1673" priority="638" stopIfTrue="1" operator="beginsWith" text="Not Functioning">
      <formula>LEFT(A87,LEN("Not Functioning"))="Not Functioning"</formula>
    </cfRule>
    <cfRule type="containsText" dxfId="1672" priority="639" operator="containsText" text="Functioning">
      <formula>NOT(ISERROR(SEARCH("Functioning",A87)))</formula>
    </cfRule>
  </conditionalFormatting>
  <conditionalFormatting sqref="B91">
    <cfRule type="beginsWith" dxfId="1671" priority="634" stopIfTrue="1" operator="beginsWith" text="Functioning At Risk">
      <formula>LEFT(B91,LEN("Functioning At Risk"))="Functioning At Risk"</formula>
    </cfRule>
    <cfRule type="beginsWith" dxfId="1670" priority="635" stopIfTrue="1" operator="beginsWith" text="Not Functioning">
      <formula>LEFT(B91,LEN("Not Functioning"))="Not Functioning"</formula>
    </cfRule>
    <cfRule type="containsText" dxfId="1669" priority="636" operator="containsText" text="Functioning">
      <formula>NOT(ISERROR(SEARCH("Functioning",B91)))</formula>
    </cfRule>
  </conditionalFormatting>
  <conditionalFormatting sqref="A108">
    <cfRule type="beginsWith" dxfId="1668" priority="628" stopIfTrue="1" operator="beginsWith" text="Functioning At Risk">
      <formula>LEFT(A108,LEN("Functioning At Risk"))="Functioning At Risk"</formula>
    </cfRule>
    <cfRule type="beginsWith" dxfId="1667" priority="629" stopIfTrue="1" operator="beginsWith" text="Not Functioning">
      <formula>LEFT(A108,LEN("Not Functioning"))="Not Functioning"</formula>
    </cfRule>
    <cfRule type="containsText" dxfId="1666" priority="630" operator="containsText" text="Functioning">
      <formula>NOT(ISERROR(SEARCH("Functioning",A108)))</formula>
    </cfRule>
  </conditionalFormatting>
  <conditionalFormatting sqref="K82:K85">
    <cfRule type="beginsWith" dxfId="1665" priority="616" stopIfTrue="1" operator="beginsWith" text="Functioning At Risk">
      <formula>LEFT(K82,LEN("Functioning At Risk"))="Functioning At Risk"</formula>
    </cfRule>
    <cfRule type="beginsWith" dxfId="1664" priority="617" stopIfTrue="1" operator="beginsWith" text="Not Functioning">
      <formula>LEFT(K82,LEN("Not Functioning"))="Not Functioning"</formula>
    </cfRule>
    <cfRule type="containsText" dxfId="1663" priority="618" operator="containsText" text="Functioning">
      <formula>NOT(ISERROR(SEARCH("Functioning",K82)))</formula>
    </cfRule>
  </conditionalFormatting>
  <conditionalFormatting sqref="F20">
    <cfRule type="beginsWith" dxfId="1662" priority="535" stopIfTrue="1" operator="beginsWith" text="Functioning At Risk">
      <formula>LEFT(F20,LEN("Functioning At Risk"))="Functioning At Risk"</formula>
    </cfRule>
    <cfRule type="beginsWith" dxfId="1661" priority="536" stopIfTrue="1" operator="beginsWith" text="Not Functioning">
      <formula>LEFT(F20,LEN("Not Functioning"))="Not Functioning"</formula>
    </cfRule>
    <cfRule type="containsText" dxfId="1660" priority="537" operator="containsText" text="Functioning">
      <formula>NOT(ISERROR(SEARCH("Functioning",F20)))</formula>
    </cfRule>
  </conditionalFormatting>
  <conditionalFormatting sqref="F29">
    <cfRule type="beginsWith" dxfId="1659" priority="523" stopIfTrue="1" operator="beginsWith" text="Functioning At Risk">
      <formula>LEFT(F29,LEN("Functioning At Risk"))="Functioning At Risk"</formula>
    </cfRule>
    <cfRule type="beginsWith" dxfId="1658" priority="524" stopIfTrue="1" operator="beginsWith" text="Not Functioning">
      <formula>LEFT(F29,LEN("Not Functioning"))="Not Functioning"</formula>
    </cfRule>
    <cfRule type="containsText" dxfId="1657" priority="525" operator="containsText" text="Functioning">
      <formula>NOT(ISERROR(SEARCH("Functioning",F29)))</formula>
    </cfRule>
  </conditionalFormatting>
  <conditionalFormatting sqref="F26">
    <cfRule type="beginsWith" dxfId="1656" priority="520" stopIfTrue="1" operator="beginsWith" text="Functioning At Risk">
      <formula>LEFT(F26,LEN("Functioning At Risk"))="Functioning At Risk"</formula>
    </cfRule>
    <cfRule type="beginsWith" dxfId="1655" priority="521" stopIfTrue="1" operator="beginsWith" text="Not Functioning">
      <formula>LEFT(F26,LEN("Not Functioning"))="Not Functioning"</formula>
    </cfRule>
    <cfRule type="containsText" dxfId="1654" priority="522" operator="containsText" text="Functioning">
      <formula>NOT(ISERROR(SEARCH("Functioning",F26)))</formula>
    </cfRule>
  </conditionalFormatting>
  <conditionalFormatting sqref="C23:D37 H23:I29 H32:I32">
    <cfRule type="cellIs" dxfId="1653" priority="921" operator="between">
      <formula>0</formula>
      <formula>0.299999</formula>
    </cfRule>
    <cfRule type="cellIs" dxfId="1652" priority="923" operator="between">
      <formula>0.6999999</formula>
      <formula>0.3</formula>
    </cfRule>
    <cfRule type="cellIs" dxfId="1651" priority="924" operator="between">
      <formula>0.7</formula>
      <formula>1</formula>
    </cfRule>
  </conditionalFormatting>
  <conditionalFormatting sqref="D102">
    <cfRule type="beginsWith" dxfId="1650" priority="517" stopIfTrue="1" operator="beginsWith" text="Functioning At Risk">
      <formula>LEFT(D102,LEN("Functioning At Risk"))="Functioning At Risk"</formula>
    </cfRule>
    <cfRule type="beginsWith" dxfId="1649" priority="518" stopIfTrue="1" operator="beginsWith" text="Not Functioning">
      <formula>LEFT(D102,LEN("Not Functioning"))="Not Functioning"</formula>
    </cfRule>
    <cfRule type="containsText" dxfId="1648" priority="519" operator="containsText" text="Functioning">
      <formula>NOT(ISERROR(SEARCH("Functioning",D102)))</formula>
    </cfRule>
  </conditionalFormatting>
  <conditionalFormatting sqref="C62:D62">
    <cfRule type="beginsWith" dxfId="1647" priority="514" stopIfTrue="1" operator="beginsWith" text="Functioning At Risk">
      <formula>LEFT(C62,LEN("Functioning At Risk"))="Functioning At Risk"</formula>
    </cfRule>
    <cfRule type="beginsWith" dxfId="1646" priority="515" stopIfTrue="1" operator="beginsWith" text="Not Functioning">
      <formula>LEFT(C62,LEN("Not Functioning"))="Not Functioning"</formula>
    </cfRule>
    <cfRule type="containsText" dxfId="1645" priority="516" operator="containsText" text="Functioning">
      <formula>NOT(ISERROR(SEARCH("Functioning",C62)))</formula>
    </cfRule>
  </conditionalFormatting>
  <conditionalFormatting sqref="D110">
    <cfRule type="beginsWith" dxfId="1644" priority="511" stopIfTrue="1" operator="beginsWith" text="Functioning At Risk">
      <formula>LEFT(D110,LEN("Functioning At Risk"))="Functioning At Risk"</formula>
    </cfRule>
    <cfRule type="beginsWith" dxfId="1643" priority="512" stopIfTrue="1" operator="beginsWith" text="Not Functioning">
      <formula>LEFT(D110,LEN("Not Functioning"))="Not Functioning"</formula>
    </cfRule>
    <cfRule type="containsText" dxfId="1642" priority="513" operator="containsText" text="Functioning">
      <formula>NOT(ISERROR(SEARCH("Functioning",D110)))</formula>
    </cfRule>
  </conditionalFormatting>
  <conditionalFormatting sqref="D16">
    <cfRule type="beginsWith" dxfId="1641" priority="490" stopIfTrue="1" operator="beginsWith" text="Functioning At Risk">
      <formula>LEFT(D16,LEN("Functioning At Risk"))="Functioning At Risk"</formula>
    </cfRule>
    <cfRule type="beginsWith" dxfId="1640" priority="491" stopIfTrue="1" operator="beginsWith" text="Not Functioning">
      <formula>LEFT(D16,LEN("Not Functioning"))="Not Functioning"</formula>
    </cfRule>
    <cfRule type="containsText" dxfId="1639" priority="492" operator="containsText" text="Functioning">
      <formula>NOT(ISERROR(SEARCH("Functioning",D16)))</formula>
    </cfRule>
  </conditionalFormatting>
  <conditionalFormatting sqref="H13">
    <cfRule type="beginsWith" dxfId="1638" priority="424" stopIfTrue="1" operator="beginsWith" text="Functioning At Risk">
      <formula>LEFT(H13,LEN("Functioning At Risk"))="Functioning At Risk"</formula>
    </cfRule>
    <cfRule type="beginsWith" dxfId="1637" priority="425" stopIfTrue="1" operator="beginsWith" text="Not Functioning">
      <formula>LEFT(H13,LEN("Not Functioning"))="Not Functioning"</formula>
    </cfRule>
    <cfRule type="containsText" dxfId="1636" priority="426" operator="containsText" text="Functioning">
      <formula>NOT(ISERROR(SEARCH("Functioning",H13)))</formula>
    </cfRule>
  </conditionalFormatting>
  <conditionalFormatting sqref="H17 K17">
    <cfRule type="beginsWith" dxfId="1635" priority="421" stopIfTrue="1" operator="beginsWith" text="Functioning At Risk">
      <formula>LEFT(H17,LEN("Functioning At Risk"))="Functioning At Risk"</formula>
    </cfRule>
    <cfRule type="beginsWith" dxfId="1634" priority="422" stopIfTrue="1" operator="beginsWith" text="Not Functioning">
      <formula>LEFT(H17,LEN("Not Functioning"))="Not Functioning"</formula>
    </cfRule>
    <cfRule type="containsText" dxfId="1633" priority="423" operator="containsText" text="Functioning">
      <formula>NOT(ISERROR(SEARCH("Functioning",H17)))</formula>
    </cfRule>
  </conditionalFormatting>
  <conditionalFormatting sqref="D17 F17">
    <cfRule type="beginsWith" dxfId="1632" priority="418" stopIfTrue="1" operator="beginsWith" text="Functioning At Risk">
      <formula>LEFT(D17,LEN("Functioning At Risk"))="Functioning At Risk"</formula>
    </cfRule>
    <cfRule type="beginsWith" dxfId="1631" priority="419" stopIfTrue="1" operator="beginsWith" text="Not Functioning">
      <formula>LEFT(D17,LEN("Not Functioning"))="Not Functioning"</formula>
    </cfRule>
    <cfRule type="containsText" dxfId="1630" priority="420" operator="containsText" text="Functioning">
      <formula>NOT(ISERROR(SEARCH("Functioning",D17)))</formula>
    </cfRule>
  </conditionalFormatting>
  <conditionalFormatting sqref="F94:F95">
    <cfRule type="beginsWith" dxfId="1629" priority="415" stopIfTrue="1" operator="beginsWith" text="Functioning At Risk">
      <formula>LEFT(F94,LEN("Functioning At Risk"))="Functioning At Risk"</formula>
    </cfRule>
    <cfRule type="beginsWith" dxfId="1628" priority="416" stopIfTrue="1" operator="beginsWith" text="Not Functioning">
      <formula>LEFT(F94,LEN("Not Functioning"))="Not Functioning"</formula>
    </cfRule>
    <cfRule type="containsText" dxfId="1627" priority="417" operator="containsText" text="Functioning">
      <formula>NOT(ISERROR(SEARCH("Functioning",F94)))</formula>
    </cfRule>
  </conditionalFormatting>
  <conditionalFormatting sqref="B13">
    <cfRule type="beginsWith" dxfId="1626" priority="319" stopIfTrue="1" operator="beginsWith" text="Functioning At Risk">
      <formula>LEFT(B13,LEN("Functioning At Risk"))="Functioning At Risk"</formula>
    </cfRule>
    <cfRule type="beginsWith" dxfId="1625" priority="320" stopIfTrue="1" operator="beginsWith" text="Not Functioning">
      <formula>LEFT(B13,LEN("Not Functioning"))="Not Functioning"</formula>
    </cfRule>
    <cfRule type="containsText" dxfId="1624" priority="321" operator="containsText" text="Functioning">
      <formula>NOT(ISERROR(SEARCH("Functioning",B13)))</formula>
    </cfRule>
  </conditionalFormatting>
  <conditionalFormatting sqref="B11:B12">
    <cfRule type="beginsWith" dxfId="1623" priority="316" stopIfTrue="1" operator="beginsWith" text="Functioning At Risk">
      <formula>LEFT(B11,LEN("Functioning At Risk"))="Functioning At Risk"</formula>
    </cfRule>
    <cfRule type="beginsWith" dxfId="1622" priority="317" stopIfTrue="1" operator="beginsWith" text="Not Functioning">
      <formula>LEFT(B11,LEN("Not Functioning"))="Not Functioning"</formula>
    </cfRule>
    <cfRule type="containsText" dxfId="1621" priority="318" operator="containsText" text="Functioning">
      <formula>NOT(ISERROR(SEARCH("Functioning",B11)))</formula>
    </cfRule>
  </conditionalFormatting>
  <conditionalFormatting sqref="E91">
    <cfRule type="beginsWith" dxfId="1620" priority="261" stopIfTrue="1" operator="beginsWith" text="Functioning At Risk">
      <formula>LEFT(E91,LEN("Functioning At Risk"))="Functioning At Risk"</formula>
    </cfRule>
    <cfRule type="beginsWith" dxfId="1619" priority="262" stopIfTrue="1" operator="beginsWith" text="Not Functioning">
      <formula>LEFT(E91,LEN("Not Functioning"))="Not Functioning"</formula>
    </cfRule>
    <cfRule type="containsText" dxfId="1618" priority="263" operator="containsText" text="Functioning">
      <formula>NOT(ISERROR(SEARCH("Functioning",E91)))</formula>
    </cfRule>
  </conditionalFormatting>
  <conditionalFormatting sqref="E100 E116 E87:E88 E108">
    <cfRule type="beginsWith" dxfId="1617" priority="283" stopIfTrue="1" operator="beginsWith" text="Functioning At Risk">
      <formula>LEFT(E87,LEN("Functioning At Risk"))="Functioning At Risk"</formula>
    </cfRule>
    <cfRule type="beginsWith" dxfId="1616" priority="284" stopIfTrue="1" operator="beginsWith" text="Not Functioning">
      <formula>LEFT(E87,LEN("Not Functioning"))="Not Functioning"</formula>
    </cfRule>
    <cfRule type="containsText" dxfId="1615" priority="285" operator="containsText" text="Functioning">
      <formula>NOT(ISERROR(SEARCH("Functioning",E87)))</formula>
    </cfRule>
  </conditionalFormatting>
  <conditionalFormatting sqref="E75">
    <cfRule type="expression" dxfId="1614" priority="276">
      <formula>B1048466="Level 5 - Biology"</formula>
    </cfRule>
  </conditionalFormatting>
  <conditionalFormatting sqref="E117">
    <cfRule type="beginsWith" dxfId="1613" priority="273" stopIfTrue="1" operator="beginsWith" text="Functioning At Risk">
      <formula>LEFT(E117,LEN("Functioning At Risk"))="Functioning At Risk"</formula>
    </cfRule>
    <cfRule type="beginsWith" dxfId="1612" priority="274" stopIfTrue="1" operator="beginsWith" text="Not Functioning">
      <formula>LEFT(E117,LEN("Not Functioning"))="Not Functioning"</formula>
    </cfRule>
    <cfRule type="containsText" dxfId="1611" priority="275" operator="containsText" text="Functioning">
      <formula>NOT(ISERROR(SEARCH("Functioning",E117)))</formula>
    </cfRule>
  </conditionalFormatting>
  <conditionalFormatting sqref="E110">
    <cfRule type="expression" dxfId="1610" priority="264">
      <formula>B5="Level 4 - Physicochemical"</formula>
    </cfRule>
    <cfRule type="expression" dxfId="1609" priority="269">
      <formula>B5="Level 5 - Biology"</formula>
    </cfRule>
  </conditionalFormatting>
  <conditionalFormatting sqref="F96">
    <cfRule type="beginsWith" dxfId="1608" priority="253" stopIfTrue="1" operator="beginsWith" text="Functioning At Risk">
      <formula>LEFT(F96,LEN("Functioning At Risk"))="Functioning At Risk"</formula>
    </cfRule>
    <cfRule type="beginsWith" dxfId="1607" priority="254" stopIfTrue="1" operator="beginsWith" text="Not Functioning">
      <formula>LEFT(F96,LEN("Not Functioning"))="Not Functioning"</formula>
    </cfRule>
    <cfRule type="containsText" dxfId="1606" priority="255" operator="containsText" text="Functioning">
      <formula>NOT(ISERROR(SEARCH("Functioning",F96)))</formula>
    </cfRule>
  </conditionalFormatting>
  <conditionalFormatting sqref="F97">
    <cfRule type="beginsWith" dxfId="1605" priority="250" stopIfTrue="1" operator="beginsWith" text="Functioning At Risk">
      <formula>LEFT(F97,LEN("Functioning At Risk"))="Functioning At Risk"</formula>
    </cfRule>
    <cfRule type="beginsWith" dxfId="1604" priority="251" stopIfTrue="1" operator="beginsWith" text="Not Functioning">
      <formula>LEFT(F97,LEN("Not Functioning"))="Not Functioning"</formula>
    </cfRule>
    <cfRule type="containsText" dxfId="1603" priority="252" operator="containsText" text="Functioning">
      <formula>NOT(ISERROR(SEARCH("Functioning",F97)))</formula>
    </cfRule>
  </conditionalFormatting>
  <conditionalFormatting sqref="E60 E72:E75 E47:E50 E63:E67 E52:E56">
    <cfRule type="beginsWith" dxfId="1602" priority="247" stopIfTrue="1" operator="beginsWith" text="Functioning At Risk">
      <formula>LEFT(E47,LEN("Functioning At Risk"))="Functioning At Risk"</formula>
    </cfRule>
    <cfRule type="beginsWith" dxfId="1601" priority="248" stopIfTrue="1" operator="beginsWith" text="Not Functioning">
      <formula>LEFT(E47,LEN("Not Functioning"))="Not Functioning"</formula>
    </cfRule>
    <cfRule type="containsText" dxfId="1600" priority="249" operator="containsText" text="Functioning">
      <formula>NOT(ISERROR(SEARCH("Functioning",E47)))</formula>
    </cfRule>
  </conditionalFormatting>
  <conditionalFormatting sqref="E70">
    <cfRule type="expression" dxfId="1599" priority="229">
      <formula>B1048465="Level 4 - Physicochemical"</formula>
    </cfRule>
    <cfRule type="expression" dxfId="1598" priority="234">
      <formula>B1048465="Level 5 - Biology"</formula>
    </cfRule>
  </conditionalFormatting>
  <conditionalFormatting sqref="E71">
    <cfRule type="expression" dxfId="1597" priority="228">
      <formula>B1048465="Level 4 - Physicochemical"</formula>
    </cfRule>
    <cfRule type="expression" dxfId="1596" priority="233">
      <formula>B1048465="Level 5 - Biology"</formula>
    </cfRule>
  </conditionalFormatting>
  <conditionalFormatting sqref="E51">
    <cfRule type="beginsWith" dxfId="1595" priority="225" stopIfTrue="1" operator="beginsWith" text="Functioning At Risk">
      <formula>LEFT(E51,LEN("Functioning At Risk"))="Functioning At Risk"</formula>
    </cfRule>
    <cfRule type="beginsWith" dxfId="1594" priority="226" stopIfTrue="1" operator="beginsWith" text="Not Functioning">
      <formula>LEFT(E51,LEN("Not Functioning"))="Not Functioning"</formula>
    </cfRule>
    <cfRule type="containsText" dxfId="1593" priority="227" operator="containsText" text="Functioning">
      <formula>NOT(ISERROR(SEARCH("Functioning",E51)))</formula>
    </cfRule>
  </conditionalFormatting>
  <conditionalFormatting sqref="E68">
    <cfRule type="expression" dxfId="1592" priority="220">
      <formula>B1048465="Level 5 - Biology"</formula>
    </cfRule>
    <cfRule type="expression" dxfId="1591" priority="221">
      <formula>B1048465="Level 4 - Physicochemical"</formula>
    </cfRule>
    <cfRule type="beginsWith" dxfId="1590" priority="222" stopIfTrue="1" operator="beginsWith" text="Functioning At Risk">
      <formula>LEFT(E68,LEN("Functioning At Risk"))="Functioning At Risk"</formula>
    </cfRule>
    <cfRule type="beginsWith" dxfId="1589" priority="223" stopIfTrue="1" operator="beginsWith" text="Not Functioning">
      <formula>LEFT(E68,LEN("Not Functioning"))="Not Functioning"</formula>
    </cfRule>
    <cfRule type="containsText" dxfId="1588" priority="224" operator="containsText" text="Functioning">
      <formula>NOT(ISERROR(SEARCH("Functioning",E68)))</formula>
    </cfRule>
  </conditionalFormatting>
  <conditionalFormatting sqref="J35">
    <cfRule type="beginsWith" dxfId="1587" priority="200" stopIfTrue="1" operator="beginsWith" text="Functioning At Risk">
      <formula>LEFT(J35,LEN("Functioning At Risk"))="Functioning At Risk"</formula>
    </cfRule>
    <cfRule type="beginsWith" dxfId="1586" priority="201" stopIfTrue="1" operator="beginsWith" text="Not Functioning">
      <formula>LEFT(J35,LEN("Not Functioning"))="Not Functioning"</formula>
    </cfRule>
    <cfRule type="containsText" dxfId="1585" priority="202" operator="containsText" text="Functioning">
      <formula>NOT(ISERROR(SEARCH("Functioning",J35)))</formula>
    </cfRule>
  </conditionalFormatting>
  <conditionalFormatting sqref="F35">
    <cfRule type="beginsWith" dxfId="1584" priority="194" stopIfTrue="1" operator="beginsWith" text="Functioning At Risk">
      <formula>LEFT(F35,LEN("Functioning At Risk"))="Functioning At Risk"</formula>
    </cfRule>
    <cfRule type="beginsWith" dxfId="1583" priority="195" stopIfTrue="1" operator="beginsWith" text="Not Functioning">
      <formula>LEFT(F35,LEN("Not Functioning"))="Not Functioning"</formula>
    </cfRule>
    <cfRule type="containsText" dxfId="1582" priority="196" operator="containsText" text="Functioning">
      <formula>NOT(ISERROR(SEARCH("Functioning",F35)))</formula>
    </cfRule>
  </conditionalFormatting>
  <conditionalFormatting sqref="H35:I35">
    <cfRule type="cellIs" dxfId="1581" priority="197" operator="between">
      <formula>0</formula>
      <formula>0.299999</formula>
    </cfRule>
    <cfRule type="cellIs" dxfId="1580" priority="198" operator="between">
      <formula>0.6999999</formula>
      <formula>0.3</formula>
    </cfRule>
    <cfRule type="cellIs" dxfId="1579" priority="199" operator="between">
      <formula>0.7</formula>
      <formula>1</formula>
    </cfRule>
  </conditionalFormatting>
  <conditionalFormatting sqref="D4">
    <cfRule type="beginsWith" dxfId="1578" priority="161" stopIfTrue="1" operator="beginsWith" text="Functioning At Risk">
      <formula>LEFT(D4,LEN("Functioning At Risk"))="Functioning At Risk"</formula>
    </cfRule>
    <cfRule type="beginsWith" dxfId="1577" priority="162" stopIfTrue="1" operator="beginsWith" text="Not Functioning">
      <formula>LEFT(D4,LEN("Not Functioning"))="Not Functioning"</formula>
    </cfRule>
    <cfRule type="containsText" dxfId="1576" priority="163" operator="containsText" text="Functioning">
      <formula>NOT(ISERROR(SEARCH("Functioning",D4)))</formula>
    </cfRule>
  </conditionalFormatting>
  <conditionalFormatting sqref="C58:D59 F58:F59">
    <cfRule type="beginsWith" dxfId="1575" priority="182" stopIfTrue="1" operator="beginsWith" text="Functioning At Risk">
      <formula>LEFT(C58,LEN("Functioning At Risk"))="Functioning At Risk"</formula>
    </cfRule>
    <cfRule type="beginsWith" dxfId="1574" priority="183" stopIfTrue="1" operator="beginsWith" text="Not Functioning">
      <formula>LEFT(C58,LEN("Not Functioning"))="Not Functioning"</formula>
    </cfRule>
    <cfRule type="containsText" dxfId="1573" priority="184" operator="containsText" text="Functioning">
      <formula>NOT(ISERROR(SEARCH("Functioning",C58)))</formula>
    </cfRule>
  </conditionalFormatting>
  <conditionalFormatting sqref="E58:E59">
    <cfRule type="beginsWith" dxfId="1572" priority="179" stopIfTrue="1" operator="beginsWith" text="Functioning At Risk">
      <formula>LEFT(E58,LEN("Functioning At Risk"))="Functioning At Risk"</formula>
    </cfRule>
    <cfRule type="beginsWith" dxfId="1571" priority="180" stopIfTrue="1" operator="beginsWith" text="Not Functioning">
      <formula>LEFT(E58,LEN("Not Functioning"))="Not Functioning"</formula>
    </cfRule>
    <cfRule type="containsText" dxfId="1570" priority="181" operator="containsText" text="Functioning">
      <formula>NOT(ISERROR(SEARCH("Functioning",E58)))</formula>
    </cfRule>
  </conditionalFormatting>
  <conditionalFormatting sqref="D98:D99">
    <cfRule type="beginsWith" dxfId="1569" priority="176" stopIfTrue="1" operator="beginsWith" text="Functioning At Risk">
      <formula>LEFT(D98,LEN("Functioning At Risk"))="Functioning At Risk"</formula>
    </cfRule>
    <cfRule type="beginsWith" dxfId="1568" priority="177" stopIfTrue="1" operator="beginsWith" text="Not Functioning">
      <formula>LEFT(D98,LEN("Not Functioning"))="Not Functioning"</formula>
    </cfRule>
    <cfRule type="containsText" dxfId="1567" priority="178" operator="containsText" text="Functioning">
      <formula>NOT(ISERROR(SEARCH("Functioning",D98)))</formula>
    </cfRule>
  </conditionalFormatting>
  <conditionalFormatting sqref="F98:F99">
    <cfRule type="beginsWith" dxfId="1566" priority="173" stopIfTrue="1" operator="beginsWith" text="Functioning At Risk">
      <formula>LEFT(F98,LEN("Functioning At Risk"))="Functioning At Risk"</formula>
    </cfRule>
    <cfRule type="beginsWith" dxfId="1565" priority="174" stopIfTrue="1" operator="beginsWith" text="Not Functioning">
      <formula>LEFT(F98,LEN("Not Functioning"))="Not Functioning"</formula>
    </cfRule>
    <cfRule type="containsText" dxfId="1564" priority="175" operator="containsText" text="Functioning">
      <formula>NOT(ISERROR(SEARCH("Functioning",F98)))</formula>
    </cfRule>
  </conditionalFormatting>
  <conditionalFormatting sqref="E98:E99">
    <cfRule type="beginsWith" dxfId="1563" priority="170" stopIfTrue="1" operator="beginsWith" text="Functioning At Risk">
      <formula>LEFT(E98,LEN("Functioning At Risk"))="Functioning At Risk"</formula>
    </cfRule>
    <cfRule type="beginsWith" dxfId="1562" priority="171" stopIfTrue="1" operator="beginsWith" text="Not Functioning">
      <formula>LEFT(E98,LEN("Not Functioning"))="Not Functioning"</formula>
    </cfRule>
    <cfRule type="containsText" dxfId="1561" priority="172" operator="containsText" text="Functioning">
      <formula>NOT(ISERROR(SEARCH("Functioning",E98)))</formula>
    </cfRule>
  </conditionalFormatting>
  <conditionalFormatting sqref="A68">
    <cfRule type="beginsWith" dxfId="1560" priority="140" stopIfTrue="1" operator="beginsWith" text="Functioning At Risk">
      <formula>LEFT(A68,LEN("Functioning At Risk"))="Functioning At Risk"</formula>
    </cfRule>
    <cfRule type="beginsWith" dxfId="1559" priority="141" stopIfTrue="1" operator="beginsWith" text="Not Functioning">
      <formula>LEFT(A68,LEN("Not Functioning"))="Not Functioning"</formula>
    </cfRule>
    <cfRule type="containsText" dxfId="1558" priority="142" operator="containsText" text="Functioning">
      <formula>NOT(ISERROR(SEARCH("Functioning",A68)))</formula>
    </cfRule>
  </conditionalFormatting>
  <conditionalFormatting sqref="H68">
    <cfRule type="beginsWith" dxfId="1557" priority="137" stopIfTrue="1" operator="beginsWith" text="Functioning At Risk">
      <formula>LEFT(H68,LEN("Functioning At Risk"))="Functioning At Risk"</formula>
    </cfRule>
    <cfRule type="beginsWith" dxfId="1556" priority="138" stopIfTrue="1" operator="beginsWith" text="Not Functioning">
      <formula>LEFT(H68,LEN("Not Functioning"))="Not Functioning"</formula>
    </cfRule>
    <cfRule type="containsText" dxfId="1555" priority="139" operator="containsText" text="Functioning">
      <formula>NOT(ISERROR(SEARCH("Functioning",H68)))</formula>
    </cfRule>
  </conditionalFormatting>
  <conditionalFormatting sqref="E69">
    <cfRule type="expression" dxfId="1554" priority="1952">
      <formula>B1048466="Level 4 - Physicochemical"</formula>
    </cfRule>
    <cfRule type="expression" dxfId="1553" priority="1953">
      <formula>B1048466="Level 5 - Biology"</formula>
    </cfRule>
  </conditionalFormatting>
  <conditionalFormatting sqref="C65">
    <cfRule type="beginsWith" dxfId="1552" priority="155" stopIfTrue="1" operator="beginsWith" text="Functioning At Risk">
      <formula>LEFT(C65,LEN("Functioning At Risk"))="Functioning At Risk"</formula>
    </cfRule>
    <cfRule type="beginsWith" dxfId="1551" priority="156" stopIfTrue="1" operator="beginsWith" text="Not Functioning">
      <formula>LEFT(C65,LEN("Not Functioning"))="Not Functioning"</formula>
    </cfRule>
    <cfRule type="containsText" dxfId="1550" priority="157" operator="containsText" text="Functioning">
      <formula>NOT(ISERROR(SEARCH("Functioning",C65)))</formula>
    </cfRule>
  </conditionalFormatting>
  <conditionalFormatting sqref="H108 H89:H90 H87 H82:H85">
    <cfRule type="beginsWith" dxfId="1549" priority="149" stopIfTrue="1" operator="beginsWith" text="Functioning At Risk">
      <formula>LEFT(H82,LEN("Functioning At Risk"))="Functioning At Risk"</formula>
    </cfRule>
    <cfRule type="beginsWith" dxfId="1548" priority="150" stopIfTrue="1" operator="beginsWith" text="Not Functioning">
      <formula>LEFT(H82,LEN("Not Functioning"))="Not Functioning"</formula>
    </cfRule>
    <cfRule type="containsText" dxfId="1547" priority="151" operator="containsText" text="Functioning">
      <formula>NOT(ISERROR(SEARCH("Functioning",H82)))</formula>
    </cfRule>
  </conditionalFormatting>
  <conditionalFormatting sqref="J82:J85">
    <cfRule type="beginsWith" dxfId="1546" priority="146" stopIfTrue="1" operator="beginsWith" text="Functioning At Risk">
      <formula>LEFT(J82,LEN("Functioning At Risk"))="Functioning At Risk"</formula>
    </cfRule>
    <cfRule type="beginsWith" dxfId="1545" priority="147" stopIfTrue="1" operator="beginsWith" text="Not Functioning">
      <formula>LEFT(J82,LEN("Not Functioning"))="Not Functioning"</formula>
    </cfRule>
    <cfRule type="containsText" dxfId="1544" priority="148" operator="containsText" text="Functioning">
      <formula>NOT(ISERROR(SEARCH("Functioning",J82)))</formula>
    </cfRule>
  </conditionalFormatting>
  <conditionalFormatting sqref="E72:E74">
    <cfRule type="expression" dxfId="1543" priority="1954">
      <formula>B1048465="Level 5 - Biology"</formula>
    </cfRule>
  </conditionalFormatting>
  <conditionalFormatting sqref="I68">
    <cfRule type="beginsWith" dxfId="1542" priority="134" stopIfTrue="1" operator="beginsWith" text="Functioning At Risk">
      <formula>LEFT(I68,LEN("Functioning At Risk"))="Functioning At Risk"</formula>
    </cfRule>
    <cfRule type="beginsWith" dxfId="1541" priority="135" stopIfTrue="1" operator="beginsWith" text="Not Functioning">
      <formula>LEFT(I68,LEN("Not Functioning"))="Not Functioning"</formula>
    </cfRule>
    <cfRule type="containsText" dxfId="1540" priority="136" operator="containsText" text="Functioning">
      <formula>NOT(ISERROR(SEARCH("Functioning",I68)))</formula>
    </cfRule>
  </conditionalFormatting>
  <conditionalFormatting sqref="D76">
    <cfRule type="beginsWith" dxfId="1539" priority="130" stopIfTrue="1" operator="beginsWith" text="Functioning At Risk">
      <formula>LEFT(D76,LEN("Functioning At Risk"))="Functioning At Risk"</formula>
    </cfRule>
    <cfRule type="beginsWith" dxfId="1538" priority="131" stopIfTrue="1" operator="beginsWith" text="Not Functioning">
      <formula>LEFT(D76,LEN("Not Functioning"))="Not Functioning"</formula>
    </cfRule>
    <cfRule type="containsText" dxfId="1537" priority="132" operator="containsText" text="Functioning">
      <formula>NOT(ISERROR(SEARCH("Functioning",D76)))</formula>
    </cfRule>
  </conditionalFormatting>
  <conditionalFormatting sqref="D77">
    <cfRule type="beginsWith" dxfId="1536" priority="127" stopIfTrue="1" operator="beginsWith" text="Functioning At Risk">
      <formula>LEFT(D77,LEN("Functioning At Risk"))="Functioning At Risk"</formula>
    </cfRule>
    <cfRule type="beginsWith" dxfId="1535" priority="128" stopIfTrue="1" operator="beginsWith" text="Not Functioning">
      <formula>LEFT(D77,LEN("Not Functioning"))="Not Functioning"</formula>
    </cfRule>
    <cfRule type="containsText" dxfId="1534" priority="129" operator="containsText" text="Functioning">
      <formula>NOT(ISERROR(SEARCH("Functioning",D77)))</formula>
    </cfRule>
  </conditionalFormatting>
  <conditionalFormatting sqref="B76">
    <cfRule type="beginsWith" dxfId="1533" priority="124" stopIfTrue="1" operator="beginsWith" text="Functioning At Risk">
      <formula>LEFT(B76,LEN("Functioning At Risk"))="Functioning At Risk"</formula>
    </cfRule>
    <cfRule type="beginsWith" dxfId="1532" priority="125" stopIfTrue="1" operator="beginsWith" text="Not Functioning">
      <formula>LEFT(B76,LEN("Not Functioning"))="Not Functioning"</formula>
    </cfRule>
    <cfRule type="containsText" dxfId="1531" priority="126" operator="containsText" text="Functioning">
      <formula>NOT(ISERROR(SEARCH("Functioning",B76)))</formula>
    </cfRule>
  </conditionalFormatting>
  <conditionalFormatting sqref="E76">
    <cfRule type="beginsWith" dxfId="1530" priority="121" stopIfTrue="1" operator="beginsWith" text="Functioning At Risk">
      <formula>LEFT(E76,LEN("Functioning At Risk"))="Functioning At Risk"</formula>
    </cfRule>
    <cfRule type="beginsWith" dxfId="1529" priority="122" stopIfTrue="1" operator="beginsWith" text="Not Functioning">
      <formula>LEFT(E76,LEN("Not Functioning"))="Not Functioning"</formula>
    </cfRule>
    <cfRule type="containsText" dxfId="1528" priority="123" operator="containsText" text="Functioning">
      <formula>NOT(ISERROR(SEARCH("Functioning",E76)))</formula>
    </cfRule>
  </conditionalFormatting>
  <conditionalFormatting sqref="E77">
    <cfRule type="beginsWith" dxfId="1527" priority="118" stopIfTrue="1" operator="beginsWith" text="Functioning At Risk">
      <formula>LEFT(E77,LEN("Functioning At Risk"))="Functioning At Risk"</formula>
    </cfRule>
    <cfRule type="beginsWith" dxfId="1526" priority="119" stopIfTrue="1" operator="beginsWith" text="Not Functioning">
      <formula>LEFT(E77,LEN("Not Functioning"))="Not Functioning"</formula>
    </cfRule>
    <cfRule type="containsText" dxfId="1525" priority="120" operator="containsText" text="Functioning">
      <formula>NOT(ISERROR(SEARCH("Functioning",E77)))</formula>
    </cfRule>
  </conditionalFormatting>
  <conditionalFormatting sqref="E77">
    <cfRule type="expression" dxfId="1524" priority="117">
      <formula>B1048459="Level 5 - Biology"</formula>
    </cfRule>
  </conditionalFormatting>
  <conditionalFormatting sqref="E76">
    <cfRule type="expression" dxfId="1523" priority="133">
      <formula>B1048461="Level 5 - Biology"</formula>
    </cfRule>
  </conditionalFormatting>
  <conditionalFormatting sqref="B108">
    <cfRule type="beginsWith" dxfId="1522" priority="111" stopIfTrue="1" operator="beginsWith" text="Functioning At Risk">
      <formula>LEFT(B108,LEN("Functioning At Risk"))="Functioning At Risk"</formula>
    </cfRule>
    <cfRule type="beginsWith" dxfId="1521" priority="112" stopIfTrue="1" operator="beginsWith" text="Not Functioning">
      <formula>LEFT(B108,LEN("Not Functioning"))="Not Functioning"</formula>
    </cfRule>
    <cfRule type="containsText" dxfId="1520" priority="113" operator="containsText" text="Functioning">
      <formula>NOT(ISERROR(SEARCH("Functioning",B108)))</formula>
    </cfRule>
  </conditionalFormatting>
  <conditionalFormatting sqref="F76:F77">
    <cfRule type="beginsWith" dxfId="1519" priority="108" stopIfTrue="1" operator="beginsWith" text="Functioning At Risk">
      <formula>LEFT(F76,LEN("Functioning At Risk"))="Functioning At Risk"</formula>
    </cfRule>
    <cfRule type="beginsWith" dxfId="1518" priority="109" stopIfTrue="1" operator="beginsWith" text="Not Functioning">
      <formula>LEFT(F76,LEN("Not Functioning"))="Not Functioning"</formula>
    </cfRule>
    <cfRule type="containsText" dxfId="1517" priority="110" operator="containsText" text="Functioning">
      <formula>NOT(ISERROR(SEARCH("Functioning",F76)))</formula>
    </cfRule>
  </conditionalFormatting>
  <conditionalFormatting sqref="A32">
    <cfRule type="beginsWith" dxfId="1516" priority="105" stopIfTrue="1" operator="beginsWith" text="Functioning At Risk">
      <formula>LEFT(A32,LEN("Functioning At Risk"))="Functioning At Risk"</formula>
    </cfRule>
    <cfRule type="beginsWith" dxfId="1515" priority="106" stopIfTrue="1" operator="beginsWith" text="Not Functioning">
      <formula>LEFT(A32,LEN("Not Functioning"))="Not Functioning"</formula>
    </cfRule>
    <cfRule type="containsText" dxfId="1514" priority="107" operator="containsText" text="Functioning">
      <formula>NOT(ISERROR(SEARCH("Functioning",A32)))</formula>
    </cfRule>
  </conditionalFormatting>
  <conditionalFormatting sqref="C66">
    <cfRule type="beginsWith" dxfId="1513" priority="102" stopIfTrue="1" operator="beginsWith" text="Functioning At Risk">
      <formula>LEFT(C66,LEN("Functioning At Risk"))="Functioning At Risk"</formula>
    </cfRule>
    <cfRule type="beginsWith" dxfId="1512" priority="103" stopIfTrue="1" operator="beginsWith" text="Not Functioning">
      <formula>LEFT(C66,LEN("Not Functioning"))="Not Functioning"</formula>
    </cfRule>
    <cfRule type="containsText" dxfId="1511" priority="104" operator="containsText" text="Functioning">
      <formula>NOT(ISERROR(SEARCH("Functioning",C66)))</formula>
    </cfRule>
  </conditionalFormatting>
  <conditionalFormatting sqref="C77">
    <cfRule type="beginsWith" dxfId="1510" priority="72" stopIfTrue="1" operator="beginsWith" text="Functioning At Risk">
      <formula>LEFT(C77,LEN("Functioning At Risk"))="Functioning At Risk"</formula>
    </cfRule>
    <cfRule type="beginsWith" dxfId="1509" priority="73" stopIfTrue="1" operator="beginsWith" text="Not Functioning">
      <formula>LEFT(C77,LEN("Not Functioning"))="Not Functioning"</formula>
    </cfRule>
    <cfRule type="containsText" dxfId="1508" priority="74" operator="containsText" text="Functioning">
      <formula>NOT(ISERROR(SEARCH("Functioning",C77)))</formula>
    </cfRule>
  </conditionalFormatting>
  <conditionalFormatting sqref="C76">
    <cfRule type="beginsWith" dxfId="1507" priority="96" stopIfTrue="1" operator="beginsWith" text="Functioning At Risk">
      <formula>LEFT(C76,LEN("Functioning At Risk"))="Functioning At Risk"</formula>
    </cfRule>
    <cfRule type="beginsWith" dxfId="1506" priority="97" stopIfTrue="1" operator="beginsWith" text="Not Functioning">
      <formula>LEFT(C76,LEN("Not Functioning"))="Not Functioning"</formula>
    </cfRule>
    <cfRule type="containsText" dxfId="1505" priority="98" operator="containsText" text="Functioning">
      <formula>NOT(ISERROR(SEARCH("Functioning",C76)))</formula>
    </cfRule>
  </conditionalFormatting>
  <conditionalFormatting sqref="B54">
    <cfRule type="beginsWith" dxfId="1504" priority="93" stopIfTrue="1" operator="beginsWith" text="Functioning At Risk">
      <formula>LEFT(B54,LEN("Functioning At Risk"))="Functioning At Risk"</formula>
    </cfRule>
    <cfRule type="beginsWith" dxfId="1503" priority="94" stopIfTrue="1" operator="beginsWith" text="Not Functioning">
      <formula>LEFT(B54,LEN("Not Functioning"))="Not Functioning"</formula>
    </cfRule>
    <cfRule type="containsText" dxfId="1502" priority="95" operator="containsText" text="Functioning">
      <formula>NOT(ISERROR(SEARCH("Functioning",B54)))</formula>
    </cfRule>
  </conditionalFormatting>
  <conditionalFormatting sqref="F72:F75">
    <cfRule type="beginsWith" dxfId="1501" priority="90" stopIfTrue="1" operator="beginsWith" text="Functioning At Risk">
      <formula>LEFT(F72,LEN("Functioning At Risk"))="Functioning At Risk"</formula>
    </cfRule>
    <cfRule type="beginsWith" dxfId="1500" priority="91" stopIfTrue="1" operator="beginsWith" text="Not Functioning">
      <formula>LEFT(F72,LEN("Not Functioning"))="Not Functioning"</formula>
    </cfRule>
    <cfRule type="containsText" dxfId="1499" priority="92" operator="containsText" text="Functioning">
      <formula>NOT(ISERROR(SEARCH("Functioning",F72)))</formula>
    </cfRule>
  </conditionalFormatting>
  <conditionalFormatting sqref="F107 F104">
    <cfRule type="beginsWith" dxfId="1498" priority="87" stopIfTrue="1" operator="beginsWith" text="Functioning At Risk">
      <formula>LEFT(F104,LEN("Functioning At Risk"))="Functioning At Risk"</formula>
    </cfRule>
    <cfRule type="beginsWith" dxfId="1497" priority="88" stopIfTrue="1" operator="beginsWith" text="Not Functioning">
      <formula>LEFT(F104,LEN("Not Functioning"))="Not Functioning"</formula>
    </cfRule>
    <cfRule type="containsText" dxfId="1496" priority="89" operator="containsText" text="Functioning">
      <formula>NOT(ISERROR(SEARCH("Functioning",F104)))</formula>
    </cfRule>
  </conditionalFormatting>
  <conditionalFormatting sqref="E103:E107">
    <cfRule type="beginsWith" dxfId="1495" priority="84" stopIfTrue="1" operator="beginsWith" text="Functioning At Risk">
      <formula>LEFT(E103,LEN("Functioning At Risk"))="Functioning At Risk"</formula>
    </cfRule>
    <cfRule type="beginsWith" dxfId="1494" priority="85" stopIfTrue="1" operator="beginsWith" text="Not Functioning">
      <formula>LEFT(E103,LEN("Not Functioning"))="Not Functioning"</formula>
    </cfRule>
    <cfRule type="containsText" dxfId="1493" priority="86" operator="containsText" text="Functioning">
      <formula>NOT(ISERROR(SEARCH("Functioning",E103)))</formula>
    </cfRule>
  </conditionalFormatting>
  <conditionalFormatting sqref="B107">
    <cfRule type="beginsWith" dxfId="1492" priority="81" stopIfTrue="1" operator="beginsWith" text="Functioning At Risk">
      <formula>LEFT(B107,LEN("Functioning At Risk"))="Functioning At Risk"</formula>
    </cfRule>
    <cfRule type="beginsWith" dxfId="1491" priority="82" stopIfTrue="1" operator="beginsWith" text="Not Functioning">
      <formula>LEFT(B107,LEN("Not Functioning"))="Not Functioning"</formula>
    </cfRule>
    <cfRule type="containsText" dxfId="1490" priority="83" operator="containsText" text="Functioning">
      <formula>NOT(ISERROR(SEARCH("Functioning",B107)))</formula>
    </cfRule>
  </conditionalFormatting>
  <conditionalFormatting sqref="B89 F89:F90 D89:D90">
    <cfRule type="beginsWith" dxfId="1489" priority="78" stopIfTrue="1" operator="beginsWith" text="Functioning At Risk">
      <formula>LEFT(B89,LEN("Functioning At Risk"))="Functioning At Risk"</formula>
    </cfRule>
    <cfRule type="beginsWith" dxfId="1488" priority="79" stopIfTrue="1" operator="beginsWith" text="Not Functioning">
      <formula>LEFT(B89,LEN("Not Functioning"))="Not Functioning"</formula>
    </cfRule>
    <cfRule type="containsText" dxfId="1487" priority="80" operator="containsText" text="Functioning">
      <formula>NOT(ISERROR(SEARCH("Functioning",B89)))</formula>
    </cfRule>
  </conditionalFormatting>
  <conditionalFormatting sqref="E89:E90">
    <cfRule type="beginsWith" dxfId="1486" priority="75" stopIfTrue="1" operator="beginsWith" text="Functioning At Risk">
      <formula>LEFT(E89,LEN("Functioning At Risk"))="Functioning At Risk"</formula>
    </cfRule>
    <cfRule type="beginsWith" dxfId="1485" priority="76" stopIfTrue="1" operator="beginsWith" text="Not Functioning">
      <formula>LEFT(E89,LEN("Not Functioning"))="Not Functioning"</formula>
    </cfRule>
    <cfRule type="containsText" dxfId="1484" priority="77" operator="containsText" text="Functioning">
      <formula>NOT(ISERROR(SEARCH("Functioning",E89)))</formula>
    </cfRule>
  </conditionalFormatting>
  <conditionalFormatting sqref="E115">
    <cfRule type="expression" dxfId="1483" priority="70">
      <formula>B1048507="Level 5 - Biology"</formula>
    </cfRule>
  </conditionalFormatting>
  <conditionalFormatting sqref="E112:E115">
    <cfRule type="beginsWith" dxfId="1482" priority="67" stopIfTrue="1" operator="beginsWith" text="Functioning At Risk">
      <formula>LEFT(E112,LEN("Functioning At Risk"))="Functioning At Risk"</formula>
    </cfRule>
    <cfRule type="beginsWith" dxfId="1481" priority="68" stopIfTrue="1" operator="beginsWith" text="Not Functioning">
      <formula>LEFT(E112,LEN("Not Functioning"))="Not Functioning"</formula>
    </cfRule>
    <cfRule type="containsText" dxfId="1480" priority="69" operator="containsText" text="Functioning">
      <formula>NOT(ISERROR(SEARCH("Functioning",E112)))</formula>
    </cfRule>
  </conditionalFormatting>
  <conditionalFormatting sqref="E112:E114">
    <cfRule type="expression" dxfId="1479" priority="71">
      <formula>B1048506="Level 5 - Biology"</formula>
    </cfRule>
  </conditionalFormatting>
  <conditionalFormatting sqref="C74">
    <cfRule type="beginsWith" dxfId="1478" priority="37" stopIfTrue="1" operator="beginsWith" text="Functioning At Risk">
      <formula>LEFT(C74,LEN("Functioning At Risk"))="Functioning At Risk"</formula>
    </cfRule>
    <cfRule type="beginsWith" dxfId="1477" priority="38" stopIfTrue="1" operator="beginsWith" text="Not Functioning">
      <formula>LEFT(C74,LEN("Not Functioning"))="Not Functioning"</formula>
    </cfRule>
    <cfRule type="containsText" dxfId="1476" priority="39" operator="containsText" text="Functioning">
      <formula>NOT(ISERROR(SEARCH("Functioning",C74)))</formula>
    </cfRule>
  </conditionalFormatting>
  <conditionalFormatting sqref="C100 C112:C113 C94:C96 C103:C104 C115 C107 C87:C92">
    <cfRule type="beginsWith" dxfId="1475" priority="34" stopIfTrue="1" operator="beginsWith" text="Functioning At Risk">
      <formula>LEFT(C87,LEN("Functioning At Risk"))="Functioning At Risk"</formula>
    </cfRule>
    <cfRule type="beginsWith" dxfId="1474" priority="35" stopIfTrue="1" operator="beginsWith" text="Not Functioning">
      <formula>LEFT(C87,LEN("Not Functioning"))="Not Functioning"</formula>
    </cfRule>
    <cfRule type="containsText" dxfId="1473" priority="36" operator="containsText" text="Functioning">
      <formula>NOT(ISERROR(SEARCH("Functioning",C87)))</formula>
    </cfRule>
  </conditionalFormatting>
  <conditionalFormatting sqref="C97">
    <cfRule type="beginsWith" dxfId="1472" priority="31" stopIfTrue="1" operator="beginsWith" text="Functioning At Risk">
      <formula>LEFT(C97,LEN("Functioning At Risk"))="Functioning At Risk"</formula>
    </cfRule>
    <cfRule type="beginsWith" dxfId="1471" priority="32" stopIfTrue="1" operator="beginsWith" text="Not Functioning">
      <formula>LEFT(C97,LEN("Not Functioning"))="Not Functioning"</formula>
    </cfRule>
    <cfRule type="containsText" dxfId="1470" priority="33" operator="containsText" text="Functioning">
      <formula>NOT(ISERROR(SEARCH("Functioning",C97)))</formula>
    </cfRule>
  </conditionalFormatting>
  <conditionalFormatting sqref="C101">
    <cfRule type="beginsWith" dxfId="1469" priority="28" stopIfTrue="1" operator="beginsWith" text="Functioning At Risk">
      <formula>LEFT(C101,LEN("Functioning At Risk"))="Functioning At Risk"</formula>
    </cfRule>
    <cfRule type="beginsWith" dxfId="1468" priority="29" stopIfTrue="1" operator="beginsWith" text="Not Functioning">
      <formula>LEFT(C101,LEN("Not Functioning"))="Not Functioning"</formula>
    </cfRule>
    <cfRule type="containsText" dxfId="1467" priority="30" operator="containsText" text="Functioning">
      <formula>NOT(ISERROR(SEARCH("Functioning",C101)))</formula>
    </cfRule>
  </conditionalFormatting>
  <conditionalFormatting sqref="C102">
    <cfRule type="beginsWith" dxfId="1466" priority="25" stopIfTrue="1" operator="beginsWith" text="Functioning At Risk">
      <formula>LEFT(C102,LEN("Functioning At Risk"))="Functioning At Risk"</formula>
    </cfRule>
    <cfRule type="beginsWith" dxfId="1465" priority="26" stopIfTrue="1" operator="beginsWith" text="Not Functioning">
      <formula>LEFT(C102,LEN("Not Functioning"))="Not Functioning"</formula>
    </cfRule>
    <cfRule type="containsText" dxfId="1464" priority="27" operator="containsText" text="Functioning">
      <formula>NOT(ISERROR(SEARCH("Functioning",C102)))</formula>
    </cfRule>
  </conditionalFormatting>
  <conditionalFormatting sqref="C98:C99">
    <cfRule type="beginsWith" dxfId="1463" priority="22" stopIfTrue="1" operator="beginsWith" text="Functioning At Risk">
      <formula>LEFT(C98,LEN("Functioning At Risk"))="Functioning At Risk"</formula>
    </cfRule>
    <cfRule type="beginsWith" dxfId="1462" priority="23" stopIfTrue="1" operator="beginsWith" text="Not Functioning">
      <formula>LEFT(C98,LEN("Not Functioning"))="Not Functioning"</formula>
    </cfRule>
    <cfRule type="containsText" dxfId="1461" priority="24" operator="containsText" text="Functioning">
      <formula>NOT(ISERROR(SEARCH("Functioning",C98)))</formula>
    </cfRule>
  </conditionalFormatting>
  <conditionalFormatting sqref="C105">
    <cfRule type="beginsWith" dxfId="1460" priority="19" stopIfTrue="1" operator="beginsWith" text="Functioning At Risk">
      <formula>LEFT(C105,LEN("Functioning At Risk"))="Functioning At Risk"</formula>
    </cfRule>
    <cfRule type="beginsWith" dxfId="1459" priority="20" stopIfTrue="1" operator="beginsWith" text="Not Functioning">
      <formula>LEFT(C105,LEN("Not Functioning"))="Not Functioning"</formula>
    </cfRule>
    <cfRule type="containsText" dxfId="1458" priority="21" operator="containsText" text="Functioning">
      <formula>NOT(ISERROR(SEARCH("Functioning",C105)))</formula>
    </cfRule>
  </conditionalFormatting>
  <conditionalFormatting sqref="C106">
    <cfRule type="beginsWith" dxfId="1457" priority="16" stopIfTrue="1" operator="beginsWith" text="Functioning At Risk">
      <formula>LEFT(C106,LEN("Functioning At Risk"))="Functioning At Risk"</formula>
    </cfRule>
    <cfRule type="beginsWith" dxfId="1456" priority="17" stopIfTrue="1" operator="beginsWith" text="Not Functioning">
      <formula>LEFT(C106,LEN("Not Functioning"))="Not Functioning"</formula>
    </cfRule>
    <cfRule type="containsText" dxfId="1455" priority="18" operator="containsText" text="Functioning">
      <formula>NOT(ISERROR(SEARCH("Functioning",C106)))</formula>
    </cfRule>
  </conditionalFormatting>
  <conditionalFormatting sqref="C117">
    <cfRule type="beginsWith" dxfId="1454" priority="10" stopIfTrue="1" operator="beginsWith" text="Functioning At Risk">
      <formula>LEFT(C117,LEN("Functioning At Risk"))="Functioning At Risk"</formula>
    </cfRule>
    <cfRule type="beginsWith" dxfId="1453" priority="11" stopIfTrue="1" operator="beginsWith" text="Not Functioning">
      <formula>LEFT(C117,LEN("Not Functioning"))="Not Functioning"</formula>
    </cfRule>
    <cfRule type="containsText" dxfId="1452" priority="12" operator="containsText" text="Functioning">
      <formula>NOT(ISERROR(SEARCH("Functioning",C117)))</formula>
    </cfRule>
  </conditionalFormatting>
  <conditionalFormatting sqref="C116">
    <cfRule type="beginsWith" dxfId="1451" priority="13" stopIfTrue="1" operator="beginsWith" text="Functioning At Risk">
      <formula>LEFT(C116,LEN("Functioning At Risk"))="Functioning At Risk"</formula>
    </cfRule>
    <cfRule type="beginsWith" dxfId="1450" priority="14" stopIfTrue="1" operator="beginsWith" text="Not Functioning">
      <formula>LEFT(C116,LEN("Not Functioning"))="Not Functioning"</formula>
    </cfRule>
    <cfRule type="containsText" dxfId="1449" priority="15" operator="containsText" text="Functioning">
      <formula>NOT(ISERROR(SEARCH("Functioning",C116)))</formula>
    </cfRule>
  </conditionalFormatting>
  <conditionalFormatting sqref="C114">
    <cfRule type="beginsWith" dxfId="1448" priority="7" stopIfTrue="1" operator="beginsWith" text="Functioning At Risk">
      <formula>LEFT(C114,LEN("Functioning At Risk"))="Functioning At Risk"</formula>
    </cfRule>
    <cfRule type="beginsWith" dxfId="1447" priority="8" stopIfTrue="1" operator="beginsWith" text="Not Functioning">
      <formula>LEFT(C114,LEN("Not Functioning"))="Not Functioning"</formula>
    </cfRule>
    <cfRule type="containsText" dxfId="1446" priority="9" operator="containsText" text="Functioning">
      <formula>NOT(ISERROR(SEARCH("Functioning",C114)))</formula>
    </cfRule>
  </conditionalFormatting>
  <conditionalFormatting sqref="B112:B114">
    <cfRule type="beginsWith" dxfId="1445" priority="4" stopIfTrue="1" operator="beginsWith" text="Functioning At Risk">
      <formula>LEFT(B112,LEN("Functioning At Risk"))="Functioning At Risk"</formula>
    </cfRule>
    <cfRule type="beginsWith" dxfId="1444" priority="5" stopIfTrue="1" operator="beginsWith" text="Not Functioning">
      <formula>LEFT(B112,LEN("Not Functioning"))="Not Functioning"</formula>
    </cfRule>
    <cfRule type="containsText" dxfId="1443" priority="6" operator="containsText" text="Functioning">
      <formula>NOT(ISERROR(SEARCH("Functioning",B112)))</formula>
    </cfRule>
  </conditionalFormatting>
  <conditionalFormatting sqref="B72:B74">
    <cfRule type="beginsWith" dxfId="1442" priority="1" stopIfTrue="1" operator="beginsWith" text="Functioning At Risk">
      <formula>LEFT(B72,LEN("Functioning At Risk"))="Functioning At Risk"</formula>
    </cfRule>
    <cfRule type="beginsWith" dxfId="1441" priority="2" stopIfTrue="1" operator="beginsWith" text="Not Functioning">
      <formula>LEFT(B72,LEN("Not Functioning"))="Not Functioning"</formula>
    </cfRule>
    <cfRule type="containsText" dxfId="1440" priority="3" operator="containsText" text="Functioning">
      <formula>NOT(ISERROR(SEARCH("Functioning",B72)))</formula>
    </cfRule>
  </conditionalFormatting>
  <conditionalFormatting sqref="E108:E109">
    <cfRule type="expression" dxfId="1439" priority="3763">
      <formula>B5="Level 4 - Physicochemical"</formula>
    </cfRule>
    <cfRule type="expression" dxfId="1438" priority="3764">
      <formula>B5="Level 5 - Biology"</formula>
    </cfRule>
  </conditionalFormatting>
  <conditionalFormatting sqref="E111">
    <cfRule type="expression" dxfId="1437" priority="3767">
      <formula>B5="Level 4 - Physicochemical"</formula>
    </cfRule>
    <cfRule type="expression" dxfId="1436" priority="3768">
      <formula>B5="Level 5 - Biology"</formula>
    </cfRule>
  </conditionalFormatting>
  <conditionalFormatting sqref="E117">
    <cfRule type="expression" dxfId="1435" priority="3769">
      <formula>B5="Level 5 - Biology"</formula>
    </cfRule>
  </conditionalFormatting>
  <conditionalFormatting sqref="E116">
    <cfRule type="expression" dxfId="1434" priority="3772">
      <formula>B7="Level 5 - Biology"</formula>
    </cfRule>
  </conditionalFormatting>
  <dataValidations xWindow="656" yWindow="505" count="15">
    <dataValidation type="list" allowBlank="1" showErrorMessage="1" sqref="B5:B6">
      <formula1>StreamType</formula1>
    </dataValidation>
    <dataValidation allowBlank="1" showErrorMessage="1" sqref="B8 E102 E62"/>
    <dataValidation type="list" allowBlank="1" showErrorMessage="1" sqref="B9">
      <formula1>BedMaterial</formula1>
    </dataValidation>
    <dataValidation type="list" allowBlank="1" showInputMessage="1" showErrorMessage="1" prompt="Select the dominant BEHI/NBS.  _x000a_If erosion rate was measured select blank. The user should only input a value for either BEHI/NBS or Erosion Rate, not both. " sqref="E92 E52">
      <formula1>BEHI.NBS</formula1>
    </dataValidation>
    <dataValidation type="list" allowBlank="1" showErrorMessage="1" sqref="B13">
      <formula1>Flow.Type</formula1>
    </dataValidation>
    <dataValidation type="list" allowBlank="1" showErrorMessage="1" sqref="B7">
      <formula1>Region</formula1>
    </dataValidation>
    <dataValidation allowBlank="1" showErrorMessage="1" prompt="Select catchment conditon level from the completed catchment assessment form. " sqref="E42:E44 E82:E84"/>
    <dataValidation allowBlank="1" showInputMessage="1" showErrorMessage="1" prompt="The user should input a value for either BEHI/NBS or Erosion Rate, not both. " sqref="E91 E51"/>
    <dataValidation allowBlank="1" showInputMessage="1" showErrorMessage="1" prompt="This measurement method should be used in combination with either Erosion Rate or Dominant BEHI/NBS." sqref="E93 E53"/>
    <dataValidation allowBlank="1" showInputMessage="1" showErrorMessage="1" prompt="The user should input a value for either basal area or density, not both. " sqref="E60:E61 E100:E101"/>
    <dataValidation type="decimal" allowBlank="1" showInputMessage="1" showErrorMessage="1" sqref="E54:E57 E94:E97">
      <formula1>0</formula1>
      <formula2>5280</formula2>
    </dataValidation>
    <dataValidation type="decimal" allowBlank="1" showInputMessage="1" showErrorMessage="1" prompt="The user should input a value for either basal area or density, not both. " sqref="E58:E59 E98:E99">
      <formula1>0</formula1>
      <formula2>5280</formula2>
    </dataValidation>
    <dataValidation allowBlank="1" showErrorMessage="1" prompt="The user can only input a value for either leaf litter processing rate or shredders for organic matter, not both. " sqref="E69 E109"/>
    <dataValidation allowBlank="1" showInputMessage="1" showErrorMessage="1" prompt="The user should input a value for either soil compaction or soil bulk density, not both. " sqref="E45:E46 E85:E86"/>
    <dataValidation allowBlank="1" showInputMessage="1" showErrorMessage="1" prompt="The user should not input values for all 4 measurement methods. If the user is not using TMI, then the remaining 3 measurement methods should be used together." sqref="E72:E75 E112:E115"/>
  </dataValidations>
  <pageMargins left="0.25" right="0.25" top="0.75" bottom="0.75" header="0.3" footer="0.3"/>
  <pageSetup scale="10" fitToHeight="0" orientation="landscape" r:id="rId1"/>
  <rowBreaks count="2" manualBreakCount="2">
    <brk id="38" max="16383" man="1"/>
    <brk id="78" max="16383" man="1"/>
  </rowBreaks>
  <ignoredErrors>
    <ignoredError sqref="G109 G69" formula="1"/>
  </ignoredErrors>
  <legacyDrawing r:id="rId2"/>
  <extLst>
    <ext xmlns:x14="http://schemas.microsoft.com/office/spreadsheetml/2009/9/main" uri="{CCE6A557-97BC-4b89-ADB6-D9C93CAAB3DF}">
      <x14:dataValidations xmlns:xm="http://schemas.microsoft.com/office/excel/2006/main" xWindow="656" yWindow="505" count="4">
        <x14:dataValidation type="list" allowBlank="1" showInputMessage="1" showErrorMessage="1">
          <x14:formula1>
            <xm:f>'Pull Down Notes'!$B$107:$B$109</xm:f>
          </x14:formula1>
          <xm:sqref>B16</xm:sqref>
        </x14:dataValidation>
        <x14:dataValidation type="list" allowBlank="1" showInputMessage="1" showErrorMessage="1">
          <x14:formula1>
            <xm:f>'Pull Down Notes'!$B$103:$B$104</xm:f>
          </x14:formula1>
          <xm:sqref>B14</xm:sqref>
        </x14:dataValidation>
        <x14:dataValidation type="list" allowBlank="1" showInputMessage="1" showErrorMessage="1">
          <x14:formula1>
            <xm:f>'Pull Down Notes'!$B$111:$B$113</xm:f>
          </x14:formula1>
          <xm:sqref>B15</xm:sqref>
        </x14:dataValidation>
        <x14:dataValidation type="list" allowBlank="1" showInputMessage="1" showErrorMessage="1">
          <x14:formula1>
            <xm:f>'Pull Down Notes'!$B$115:$B$118</xm:f>
          </x14:formula1>
          <xm:sqref>B17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014"/>
  <sheetViews>
    <sheetView topLeftCell="L212" zoomScale="85" zoomScaleNormal="85" zoomScaleSheetLayoutView="30" workbookViewId="0">
      <selection activeCell="R214" sqref="R214:X216"/>
    </sheetView>
  </sheetViews>
  <sheetFormatPr defaultColWidth="9.140625" defaultRowHeight="15" x14ac:dyDescent="0.25"/>
  <cols>
    <col min="1" max="8" width="11.5703125" style="14" customWidth="1"/>
    <col min="9" max="9" width="11.5703125" style="241" customWidth="1"/>
    <col min="10" max="16" width="11.5703125" style="14" customWidth="1"/>
    <col min="17" max="17" width="11.5703125" style="241" customWidth="1"/>
    <col min="18" max="25" width="11.5703125" style="14" customWidth="1"/>
    <col min="26" max="26" width="11.5703125" style="241" customWidth="1"/>
    <col min="27" max="28" width="11.5703125" style="14" customWidth="1"/>
    <col min="29" max="29" width="16.5703125" style="14" customWidth="1"/>
    <col min="30" max="35" width="11.5703125" style="14" customWidth="1"/>
    <col min="36" max="36" width="11.5703125" style="241" customWidth="1"/>
    <col min="37" max="37" width="11.5703125" style="21" customWidth="1"/>
    <col min="38" max="44" width="11.5703125" style="14" customWidth="1"/>
    <col min="45" max="45" width="11.5703125" style="241" customWidth="1"/>
    <col min="46" max="51" width="11.5703125" style="14" customWidth="1"/>
    <col min="52" max="16384" width="9.140625" style="14"/>
  </cols>
  <sheetData>
    <row r="1" spans="1:43" x14ac:dyDescent="0.25">
      <c r="A1" s="14" t="s">
        <v>151</v>
      </c>
    </row>
    <row r="2" spans="1:43" x14ac:dyDescent="0.25">
      <c r="A2" s="14" t="s">
        <v>152</v>
      </c>
    </row>
    <row r="3" spans="1:43" x14ac:dyDescent="0.25">
      <c r="A3" s="14" t="s">
        <v>153</v>
      </c>
    </row>
    <row r="5" spans="1:43" ht="15" customHeight="1" x14ac:dyDescent="0.25">
      <c r="B5" s="559" t="s">
        <v>88</v>
      </c>
      <c r="C5" s="559"/>
      <c r="D5" s="559"/>
      <c r="E5" s="559"/>
      <c r="F5" s="559"/>
      <c r="G5" s="559"/>
      <c r="H5" s="559"/>
      <c r="I5" s="361"/>
      <c r="J5" s="559" t="s">
        <v>87</v>
      </c>
      <c r="K5" s="559"/>
      <c r="L5" s="559"/>
      <c r="M5" s="559"/>
      <c r="N5" s="559"/>
      <c r="O5" s="559"/>
      <c r="P5" s="559"/>
      <c r="Q5" s="262"/>
      <c r="R5" s="559" t="s">
        <v>89</v>
      </c>
      <c r="S5" s="559"/>
      <c r="T5" s="559"/>
      <c r="U5" s="559"/>
      <c r="V5" s="559"/>
      <c r="W5" s="559"/>
      <c r="X5" s="559"/>
      <c r="Y5" s="559"/>
      <c r="AA5" s="559" t="s">
        <v>90</v>
      </c>
      <c r="AB5" s="559"/>
      <c r="AC5" s="559"/>
      <c r="AD5" s="559"/>
      <c r="AE5" s="559"/>
      <c r="AF5" s="559"/>
      <c r="AG5" s="559"/>
      <c r="AH5" s="559"/>
      <c r="AI5" s="2"/>
      <c r="AJ5" s="355"/>
      <c r="AK5" s="559" t="s">
        <v>91</v>
      </c>
      <c r="AL5" s="559"/>
      <c r="AM5" s="559"/>
      <c r="AN5" s="559"/>
      <c r="AO5" s="559"/>
      <c r="AP5" s="559"/>
      <c r="AQ5" s="559"/>
    </row>
    <row r="6" spans="1:43" ht="15" customHeight="1" x14ac:dyDescent="0.25">
      <c r="A6" s="3"/>
      <c r="B6" s="559"/>
      <c r="C6" s="559"/>
      <c r="D6" s="559"/>
      <c r="E6" s="559"/>
      <c r="F6" s="559"/>
      <c r="G6" s="559"/>
      <c r="H6" s="559"/>
      <c r="I6" s="361"/>
      <c r="J6" s="559"/>
      <c r="K6" s="559"/>
      <c r="L6" s="559"/>
      <c r="M6" s="559"/>
      <c r="N6" s="559"/>
      <c r="O6" s="559"/>
      <c r="P6" s="559"/>
      <c r="Q6" s="262"/>
      <c r="R6" s="559"/>
      <c r="S6" s="559"/>
      <c r="T6" s="559"/>
      <c r="U6" s="559"/>
      <c r="V6" s="559"/>
      <c r="W6" s="559"/>
      <c r="X6" s="559"/>
      <c r="Y6" s="559"/>
      <c r="AA6" s="559"/>
      <c r="AB6" s="559"/>
      <c r="AC6" s="559"/>
      <c r="AD6" s="559"/>
      <c r="AE6" s="559"/>
      <c r="AF6" s="559"/>
      <c r="AG6" s="559"/>
      <c r="AH6" s="559"/>
      <c r="AI6" s="2"/>
      <c r="AJ6" s="355"/>
      <c r="AK6" s="559"/>
      <c r="AL6" s="559"/>
      <c r="AM6" s="559"/>
      <c r="AN6" s="559"/>
      <c r="AO6" s="559"/>
      <c r="AP6" s="559"/>
      <c r="AQ6" s="559"/>
    </row>
    <row r="7" spans="1:43" x14ac:dyDescent="0.25">
      <c r="A7" s="3"/>
      <c r="B7" s="3"/>
      <c r="C7" s="3"/>
      <c r="D7" s="3"/>
      <c r="E7" s="3"/>
      <c r="F7" s="3"/>
      <c r="G7" s="3"/>
      <c r="H7" s="3"/>
      <c r="I7" s="362"/>
      <c r="M7" s="1"/>
      <c r="N7" s="1"/>
      <c r="O7" s="1"/>
      <c r="P7" s="1"/>
      <c r="Q7" s="262"/>
      <c r="R7" s="1"/>
      <c r="S7" s="1"/>
      <c r="T7" s="1"/>
      <c r="AG7" s="1"/>
    </row>
    <row r="8" spans="1:43" x14ac:dyDescent="0.25">
      <c r="J8" s="15"/>
      <c r="M8" s="1"/>
      <c r="N8" s="2"/>
      <c r="O8" s="2"/>
      <c r="P8" s="2"/>
      <c r="Q8" s="355"/>
      <c r="R8" s="2"/>
      <c r="S8" s="2"/>
      <c r="T8" s="2"/>
    </row>
    <row r="9" spans="1:43" ht="16.5" thickBot="1" x14ac:dyDescent="0.3">
      <c r="B9" s="177" t="s">
        <v>253</v>
      </c>
      <c r="J9" s="14" t="s">
        <v>0</v>
      </c>
      <c r="R9" s="14" t="s">
        <v>25</v>
      </c>
      <c r="AA9" s="14" t="s">
        <v>256</v>
      </c>
      <c r="AK9" s="21" t="s">
        <v>199</v>
      </c>
    </row>
    <row r="10" spans="1:43" x14ac:dyDescent="0.25">
      <c r="B10" s="4" t="s">
        <v>15</v>
      </c>
      <c r="C10" s="346">
        <v>78.449629999999999</v>
      </c>
      <c r="D10" s="347"/>
      <c r="E10" s="347">
        <v>70</v>
      </c>
      <c r="F10" s="347"/>
      <c r="G10" s="347">
        <v>55</v>
      </c>
      <c r="H10" s="348">
        <v>30</v>
      </c>
      <c r="I10" s="363"/>
      <c r="J10" s="5" t="s">
        <v>15</v>
      </c>
      <c r="K10" s="5"/>
      <c r="L10" s="5">
        <v>1.6</v>
      </c>
      <c r="M10" s="5">
        <v>1.5</v>
      </c>
      <c r="N10" s="162"/>
      <c r="O10" s="5">
        <v>1.2</v>
      </c>
      <c r="P10" s="6">
        <v>1</v>
      </c>
      <c r="R10" s="5" t="s">
        <v>15</v>
      </c>
      <c r="S10" s="5">
        <v>0</v>
      </c>
      <c r="T10" s="5"/>
      <c r="U10" s="5">
        <v>200</v>
      </c>
      <c r="V10" s="5"/>
      <c r="W10" s="5">
        <v>300</v>
      </c>
      <c r="X10" s="6">
        <v>700</v>
      </c>
      <c r="AA10" s="5" t="s">
        <v>4</v>
      </c>
      <c r="AB10" s="133"/>
      <c r="AC10" s="48"/>
      <c r="AD10" s="5">
        <v>941</v>
      </c>
      <c r="AE10" s="48"/>
      <c r="AF10" s="133">
        <v>487</v>
      </c>
      <c r="AG10" s="6">
        <v>0</v>
      </c>
      <c r="AK10" s="266" t="s">
        <v>200</v>
      </c>
      <c r="AL10" s="5">
        <v>0</v>
      </c>
      <c r="AM10" s="5"/>
      <c r="AN10" s="117">
        <v>22</v>
      </c>
      <c r="AO10" s="117"/>
      <c r="AP10" s="117"/>
      <c r="AQ10" s="6">
        <v>30</v>
      </c>
    </row>
    <row r="11" spans="1:43" ht="15.75" thickBot="1" x14ac:dyDescent="0.3">
      <c r="B11" s="7" t="s">
        <v>16</v>
      </c>
      <c r="C11" s="8">
        <v>0</v>
      </c>
      <c r="D11" s="8">
        <v>0.28999999999999998</v>
      </c>
      <c r="E11" s="9">
        <v>0.3</v>
      </c>
      <c r="F11" s="9">
        <v>0.69</v>
      </c>
      <c r="G11" s="10">
        <v>0.7</v>
      </c>
      <c r="H11" s="11">
        <v>1</v>
      </c>
      <c r="I11" s="355"/>
      <c r="J11" s="354" t="s">
        <v>16</v>
      </c>
      <c r="K11" s="8">
        <v>0</v>
      </c>
      <c r="L11" s="8">
        <v>0.2</v>
      </c>
      <c r="M11" s="9">
        <v>0.3</v>
      </c>
      <c r="N11" s="163">
        <v>0.69</v>
      </c>
      <c r="O11" s="10">
        <v>0.7</v>
      </c>
      <c r="P11" s="11">
        <v>1</v>
      </c>
      <c r="R11" s="354" t="s">
        <v>16</v>
      </c>
      <c r="S11" s="8">
        <v>0</v>
      </c>
      <c r="T11" s="8">
        <v>0.28999999999999998</v>
      </c>
      <c r="U11" s="9">
        <v>0.3</v>
      </c>
      <c r="V11" s="9">
        <v>0.69</v>
      </c>
      <c r="W11" s="10">
        <v>0.7</v>
      </c>
      <c r="X11" s="11">
        <v>1</v>
      </c>
      <c r="AA11" s="354" t="s">
        <v>5</v>
      </c>
      <c r="AB11" s="8">
        <v>0</v>
      </c>
      <c r="AC11" s="8">
        <v>0.28999999999999998</v>
      </c>
      <c r="AD11" s="9">
        <v>0.3</v>
      </c>
      <c r="AE11" s="9">
        <v>0.69</v>
      </c>
      <c r="AF11" s="10">
        <v>0.7</v>
      </c>
      <c r="AG11" s="11">
        <v>1</v>
      </c>
      <c r="AK11" s="122" t="s">
        <v>201</v>
      </c>
      <c r="AL11" s="46">
        <v>0</v>
      </c>
      <c r="AM11" s="46"/>
      <c r="AN11" s="130">
        <v>32</v>
      </c>
      <c r="AO11" s="130"/>
      <c r="AP11" s="130"/>
      <c r="AQ11" s="47">
        <v>42</v>
      </c>
    </row>
    <row r="12" spans="1:43" ht="15" customHeight="1" thickBot="1" x14ac:dyDescent="0.3">
      <c r="S12" s="307" t="s">
        <v>219</v>
      </c>
      <c r="T12" s="307"/>
      <c r="AA12" s="21"/>
      <c r="AB12" s="132"/>
      <c r="AC12" s="21"/>
      <c r="AD12" s="131"/>
      <c r="AE12" s="131"/>
      <c r="AF12" s="131"/>
      <c r="AG12" s="131"/>
      <c r="AH12" s="131"/>
      <c r="AK12" s="354" t="s">
        <v>5</v>
      </c>
      <c r="AL12" s="8">
        <v>0</v>
      </c>
      <c r="AM12" s="8">
        <v>0.28999999999999998</v>
      </c>
      <c r="AN12" s="9">
        <v>0.5</v>
      </c>
      <c r="AO12" s="9">
        <v>0.69</v>
      </c>
      <c r="AP12" s="10">
        <v>0.7</v>
      </c>
      <c r="AQ12" s="11">
        <v>1</v>
      </c>
    </row>
    <row r="13" spans="1:43" ht="15" customHeight="1" x14ac:dyDescent="0.25">
      <c r="C13" s="166" t="s">
        <v>219</v>
      </c>
      <c r="D13" s="116"/>
      <c r="K13" s="166" t="s">
        <v>219</v>
      </c>
      <c r="R13" s="21"/>
      <c r="S13" s="18" t="s">
        <v>138</v>
      </c>
      <c r="T13" s="18" t="s">
        <v>96</v>
      </c>
      <c r="AB13" s="166" t="s">
        <v>212</v>
      </c>
    </row>
    <row r="14" spans="1:43" ht="15" customHeight="1" x14ac:dyDescent="0.25">
      <c r="B14" s="14" t="s">
        <v>133</v>
      </c>
      <c r="C14" s="14">
        <v>-3.6900000000000002E-4</v>
      </c>
      <c r="D14" s="13"/>
      <c r="F14" s="1"/>
      <c r="G14" s="121"/>
      <c r="H14" s="121"/>
      <c r="I14" s="364"/>
      <c r="J14" s="12" t="s">
        <v>133</v>
      </c>
      <c r="K14" s="13">
        <v>0.46610000000000001</v>
      </c>
      <c r="L14" s="13"/>
      <c r="R14" s="18" t="s">
        <v>133</v>
      </c>
      <c r="S14" s="21">
        <v>8.3299999999999999E-6</v>
      </c>
      <c r="T14" s="21"/>
      <c r="AB14" s="233" t="s">
        <v>96</v>
      </c>
      <c r="AC14" s="233" t="s">
        <v>250</v>
      </c>
      <c r="AL14" s="166" t="s">
        <v>212</v>
      </c>
      <c r="AM14" s="166"/>
    </row>
    <row r="15" spans="1:43" x14ac:dyDescent="0.25">
      <c r="B15" s="13" t="s">
        <v>134</v>
      </c>
      <c r="C15" s="13">
        <v>1.9369999999999998E-2</v>
      </c>
      <c r="D15" s="13"/>
      <c r="F15" s="1"/>
      <c r="G15" s="1"/>
      <c r="H15" s="1"/>
      <c r="J15" s="12" t="s">
        <v>134</v>
      </c>
      <c r="K15" s="13">
        <v>-2.5550999999999999</v>
      </c>
      <c r="L15" s="13"/>
      <c r="R15" s="18" t="s">
        <v>134</v>
      </c>
      <c r="S15" s="21">
        <v>-1.6666700000000001E-4</v>
      </c>
      <c r="T15" s="21">
        <v>7.5000000000000002E-4</v>
      </c>
      <c r="AA15" s="123" t="s">
        <v>133</v>
      </c>
      <c r="AB15" s="236">
        <v>-6.1600000000000001E-4</v>
      </c>
      <c r="AC15" s="237">
        <v>-8.8105726999999998E-4</v>
      </c>
      <c r="AK15" s="1"/>
      <c r="AL15" s="122" t="s">
        <v>208</v>
      </c>
      <c r="AM15" s="122" t="s">
        <v>209</v>
      </c>
      <c r="AN15" s="122" t="s">
        <v>210</v>
      </c>
      <c r="AO15" s="122" t="s">
        <v>211</v>
      </c>
    </row>
    <row r="16" spans="1:43" x14ac:dyDescent="0.25">
      <c r="B16" s="13" t="s">
        <v>136</v>
      </c>
      <c r="C16" s="13">
        <v>0.75079300000000004</v>
      </c>
      <c r="D16" s="13"/>
      <c r="F16" s="1"/>
      <c r="G16" s="1"/>
      <c r="H16" s="1"/>
      <c r="J16" s="12" t="s">
        <v>136</v>
      </c>
      <c r="K16" s="13">
        <v>3.0907</v>
      </c>
      <c r="L16" s="13"/>
      <c r="M16" s="16"/>
      <c r="R16" s="18" t="s">
        <v>136</v>
      </c>
      <c r="S16" s="1">
        <v>0</v>
      </c>
      <c r="T16" s="122">
        <v>0.47499999999999998</v>
      </c>
      <c r="AA16" s="123" t="s">
        <v>134</v>
      </c>
      <c r="AB16" s="238">
        <v>1</v>
      </c>
      <c r="AC16" s="236">
        <v>1.1290749</v>
      </c>
      <c r="AK16" s="345" t="s">
        <v>133</v>
      </c>
      <c r="AL16" s="13">
        <v>2.2700000000000001E-2</v>
      </c>
      <c r="AM16" s="13">
        <v>6.25E-2</v>
      </c>
      <c r="AN16" s="13">
        <v>1.5599999999999999E-2</v>
      </c>
      <c r="AO16" s="13">
        <v>0.05</v>
      </c>
    </row>
    <row r="17" spans="2:41" x14ac:dyDescent="0.25">
      <c r="B17" s="13"/>
      <c r="C17" s="13"/>
      <c r="D17" s="92"/>
      <c r="F17" s="1"/>
      <c r="G17" s="1"/>
      <c r="H17" s="1"/>
      <c r="J17" s="13"/>
      <c r="K17" s="13"/>
      <c r="L17" s="92"/>
      <c r="R17" s="21"/>
      <c r="S17" s="1"/>
      <c r="T17" s="21"/>
      <c r="AA17" s="1"/>
      <c r="AB17" s="1"/>
      <c r="AC17" s="1"/>
      <c r="AK17" s="345" t="s">
        <v>134</v>
      </c>
      <c r="AL17" s="13">
        <v>0</v>
      </c>
      <c r="AM17" s="13">
        <v>-0.875</v>
      </c>
      <c r="AN17" s="13">
        <v>0</v>
      </c>
      <c r="AO17" s="13">
        <v>-1.1000000000000001</v>
      </c>
    </row>
    <row r="18" spans="2:41" x14ac:dyDescent="0.25">
      <c r="B18" s="1"/>
      <c r="J18" s="1"/>
      <c r="AA18" s="1"/>
      <c r="AB18" s="1"/>
      <c r="AC18" s="1"/>
      <c r="AK18" s="345"/>
      <c r="AL18" s="13"/>
      <c r="AM18" s="13"/>
      <c r="AN18" s="16"/>
    </row>
    <row r="19" spans="2:41" x14ac:dyDescent="0.25">
      <c r="B19" s="1"/>
      <c r="J19" s="1"/>
      <c r="AK19" s="1"/>
      <c r="AL19" s="13"/>
      <c r="AM19" s="92"/>
    </row>
    <row r="22" spans="2:41" x14ac:dyDescent="0.25">
      <c r="AH22" s="19"/>
    </row>
    <row r="42" spans="2:43" ht="15.75" thickBot="1" x14ac:dyDescent="0.3">
      <c r="R42" s="14" t="s">
        <v>393</v>
      </c>
    </row>
    <row r="43" spans="2:43" ht="15.75" thickBot="1" x14ac:dyDescent="0.3">
      <c r="J43" s="13" t="s">
        <v>14</v>
      </c>
      <c r="K43" s="13"/>
      <c r="L43" s="13"/>
      <c r="M43" s="13"/>
      <c r="N43" s="13"/>
      <c r="O43" s="13"/>
      <c r="P43" s="13"/>
      <c r="R43" s="5" t="s">
        <v>15</v>
      </c>
      <c r="S43" s="5">
        <v>0</v>
      </c>
      <c r="T43" s="5"/>
      <c r="U43" s="5">
        <v>10</v>
      </c>
      <c r="V43" s="5"/>
      <c r="W43" s="5">
        <v>16</v>
      </c>
      <c r="X43" s="6">
        <v>30</v>
      </c>
    </row>
    <row r="44" spans="2:43" ht="15.75" thickBot="1" x14ac:dyDescent="0.3">
      <c r="B44" s="14" t="s">
        <v>155</v>
      </c>
      <c r="J44" s="5" t="s">
        <v>15</v>
      </c>
      <c r="K44" s="20"/>
      <c r="L44" s="20"/>
      <c r="M44" s="20">
        <v>2</v>
      </c>
      <c r="N44" s="20"/>
      <c r="O44" s="20">
        <v>2.4</v>
      </c>
      <c r="P44" s="160">
        <v>5</v>
      </c>
      <c r="R44" s="354" t="s">
        <v>16</v>
      </c>
      <c r="S44" s="8">
        <v>0</v>
      </c>
      <c r="T44" s="8">
        <v>0.28999999999999998</v>
      </c>
      <c r="U44" s="9">
        <v>0.3</v>
      </c>
      <c r="V44" s="9">
        <v>0.69</v>
      </c>
      <c r="W44" s="10">
        <v>0.7</v>
      </c>
      <c r="X44" s="11">
        <v>1</v>
      </c>
      <c r="AA44" s="14" t="s">
        <v>320</v>
      </c>
      <c r="AK44" s="21" t="s">
        <v>213</v>
      </c>
    </row>
    <row r="45" spans="2:43" ht="15.75" thickBot="1" x14ac:dyDescent="0.3">
      <c r="B45" s="4" t="s">
        <v>15</v>
      </c>
      <c r="C45" s="347"/>
      <c r="D45" s="347"/>
      <c r="E45" s="347">
        <v>3</v>
      </c>
      <c r="F45" s="347">
        <v>1</v>
      </c>
      <c r="G45" s="347"/>
      <c r="H45" s="348">
        <v>0</v>
      </c>
      <c r="J45" s="354" t="s">
        <v>16</v>
      </c>
      <c r="K45" s="8">
        <v>0</v>
      </c>
      <c r="L45" s="8">
        <v>0.28999999999999998</v>
      </c>
      <c r="M45" s="9">
        <v>0.3</v>
      </c>
      <c r="N45" s="9">
        <v>0.69</v>
      </c>
      <c r="O45" s="10">
        <v>0.7</v>
      </c>
      <c r="P45" s="11">
        <v>1</v>
      </c>
      <c r="S45" s="307" t="s">
        <v>219</v>
      </c>
      <c r="T45" s="307"/>
      <c r="AA45" s="357" t="s">
        <v>203</v>
      </c>
      <c r="AB45" s="117">
        <v>100</v>
      </c>
      <c r="AC45" s="117"/>
      <c r="AD45" s="117">
        <v>51.225000000000001</v>
      </c>
      <c r="AE45" s="117">
        <v>26.900000000000002</v>
      </c>
      <c r="AF45" s="117"/>
      <c r="AG45" s="213">
        <v>12.400000000000002</v>
      </c>
      <c r="AK45" s="266" t="s">
        <v>214</v>
      </c>
      <c r="AL45" s="5">
        <v>0</v>
      </c>
      <c r="AM45" s="5"/>
      <c r="AN45" s="117">
        <v>9.1999999999999993</v>
      </c>
      <c r="AO45" s="117">
        <v>13.6</v>
      </c>
      <c r="AP45" s="117"/>
      <c r="AQ45" s="213">
        <v>15.6</v>
      </c>
    </row>
    <row r="46" spans="2:43" ht="15.75" thickBot="1" x14ac:dyDescent="0.3">
      <c r="B46" s="7" t="s">
        <v>16</v>
      </c>
      <c r="C46" s="8">
        <v>0</v>
      </c>
      <c r="D46" s="8">
        <v>0.28999999999999998</v>
      </c>
      <c r="E46" s="9">
        <v>0.3</v>
      </c>
      <c r="F46" s="9">
        <v>0.69</v>
      </c>
      <c r="G46" s="10">
        <v>0.7</v>
      </c>
      <c r="H46" s="11">
        <v>1</v>
      </c>
      <c r="R46" s="21"/>
      <c r="S46" s="18" t="s">
        <v>138</v>
      </c>
      <c r="T46" s="18" t="s">
        <v>96</v>
      </c>
      <c r="AA46" s="121" t="s">
        <v>204</v>
      </c>
      <c r="AB46" s="130">
        <v>100</v>
      </c>
      <c r="AC46" s="214"/>
      <c r="AD46" s="214">
        <v>53.575000000000003</v>
      </c>
      <c r="AE46" s="214">
        <v>30.450000000000003</v>
      </c>
      <c r="AF46" s="214"/>
      <c r="AG46" s="215">
        <v>16.400000000000006</v>
      </c>
      <c r="AK46" s="122" t="s">
        <v>215</v>
      </c>
      <c r="AL46" s="46">
        <v>0</v>
      </c>
      <c r="AM46" s="46"/>
      <c r="AN46" s="130">
        <v>11.5</v>
      </c>
      <c r="AO46" s="130">
        <v>17.100000000000001</v>
      </c>
      <c r="AP46" s="130"/>
      <c r="AQ46" s="216">
        <v>19.899999999999999</v>
      </c>
    </row>
    <row r="47" spans="2:43" x14ac:dyDescent="0.25">
      <c r="K47" s="401" t="s">
        <v>212</v>
      </c>
      <c r="L47" s="401"/>
      <c r="R47" s="18" t="s">
        <v>133</v>
      </c>
      <c r="S47" s="21">
        <v>2.29167E-3</v>
      </c>
      <c r="T47" s="21"/>
      <c r="AA47" s="121" t="s">
        <v>205</v>
      </c>
      <c r="AB47" s="130">
        <v>100</v>
      </c>
      <c r="AC47" s="130"/>
      <c r="AD47" s="130">
        <v>56.875</v>
      </c>
      <c r="AE47" s="130">
        <v>35.450000000000003</v>
      </c>
      <c r="AF47" s="130"/>
      <c r="AG47" s="216">
        <v>22.949999999999992</v>
      </c>
      <c r="AK47" s="122" t="s">
        <v>216</v>
      </c>
      <c r="AL47" s="46">
        <v>0</v>
      </c>
      <c r="AM47" s="46"/>
      <c r="AN47" s="130">
        <v>14.15</v>
      </c>
      <c r="AO47" s="130">
        <v>21.1</v>
      </c>
      <c r="AP47" s="130"/>
      <c r="AQ47" s="216">
        <v>24.7</v>
      </c>
    </row>
    <row r="48" spans="2:43" x14ac:dyDescent="0.25">
      <c r="C48" s="166" t="s">
        <v>212</v>
      </c>
      <c r="D48" s="116"/>
      <c r="I48" s="365"/>
      <c r="K48" s="158" t="s">
        <v>96</v>
      </c>
      <c r="L48" s="158" t="s">
        <v>150</v>
      </c>
      <c r="R48" s="18" t="s">
        <v>134</v>
      </c>
      <c r="S48" s="21">
        <v>7.0833299999999997E-3</v>
      </c>
      <c r="T48" s="21">
        <v>2.1429E-2</v>
      </c>
      <c r="AA48" s="121" t="s">
        <v>206</v>
      </c>
      <c r="AB48" s="130">
        <v>100</v>
      </c>
      <c r="AC48" s="130"/>
      <c r="AD48" s="130">
        <v>64.174999999999997</v>
      </c>
      <c r="AE48" s="130">
        <v>46.325000000000003</v>
      </c>
      <c r="AF48" s="130"/>
      <c r="AG48" s="216">
        <v>35.957142857142856</v>
      </c>
      <c r="AK48" s="122" t="s">
        <v>217</v>
      </c>
      <c r="AL48" s="46">
        <v>0</v>
      </c>
      <c r="AM48" s="46"/>
      <c r="AN48" s="130">
        <v>18.5</v>
      </c>
      <c r="AO48" s="130">
        <v>27.7</v>
      </c>
      <c r="AP48" s="130"/>
      <c r="AQ48" s="216">
        <v>32.700000000000003</v>
      </c>
    </row>
    <row r="49" spans="2:43" ht="15.75" thickBot="1" x14ac:dyDescent="0.3">
      <c r="B49" s="14" t="s">
        <v>133</v>
      </c>
      <c r="C49" s="14">
        <v>-0.19500000000000001</v>
      </c>
      <c r="D49" s="13"/>
      <c r="F49" s="1"/>
      <c r="G49" s="121"/>
      <c r="H49" s="121"/>
      <c r="I49" s="355"/>
      <c r="J49" s="12" t="s">
        <v>133</v>
      </c>
      <c r="K49" s="13">
        <v>0.1154</v>
      </c>
      <c r="L49" s="13">
        <v>1</v>
      </c>
      <c r="R49" s="18" t="s">
        <v>136</v>
      </c>
      <c r="S49" s="1">
        <v>0</v>
      </c>
      <c r="T49" s="122">
        <v>0.35714299999999999</v>
      </c>
      <c r="AA49" s="354" t="s">
        <v>5</v>
      </c>
      <c r="AB49" s="8">
        <v>0</v>
      </c>
      <c r="AC49" s="8">
        <v>0.28999999999999998</v>
      </c>
      <c r="AD49" s="9">
        <v>0.3</v>
      </c>
      <c r="AE49" s="9">
        <v>0.69</v>
      </c>
      <c r="AF49" s="10">
        <v>0.7</v>
      </c>
      <c r="AG49" s="11">
        <v>1</v>
      </c>
      <c r="AK49" s="122" t="s">
        <v>218</v>
      </c>
      <c r="AL49" s="46">
        <v>0</v>
      </c>
      <c r="AM49" s="46"/>
      <c r="AN49" s="130">
        <v>23.3</v>
      </c>
      <c r="AO49" s="130">
        <v>34.9</v>
      </c>
      <c r="AP49" s="130"/>
      <c r="AQ49" s="216">
        <v>41.2</v>
      </c>
    </row>
    <row r="50" spans="2:43" ht="15.75" thickBot="1" x14ac:dyDescent="0.3">
      <c r="B50" s="13" t="s">
        <v>134</v>
      </c>
      <c r="C50" s="13">
        <v>0.88500000000000001</v>
      </c>
      <c r="D50" s="13"/>
      <c r="F50" s="1"/>
      <c r="G50" s="1"/>
      <c r="H50" s="1"/>
      <c r="J50" s="12" t="s">
        <v>134</v>
      </c>
      <c r="K50" s="13">
        <v>0.42309999999999998</v>
      </c>
      <c r="L50" s="13">
        <v>-1.7</v>
      </c>
      <c r="R50" s="21"/>
      <c r="S50" s="1"/>
      <c r="T50" s="21"/>
      <c r="AK50" s="354" t="s">
        <v>5</v>
      </c>
      <c r="AL50" s="228">
        <v>0</v>
      </c>
      <c r="AM50" s="228"/>
      <c r="AN50" s="228">
        <v>0.21</v>
      </c>
      <c r="AO50" s="200">
        <v>0.48</v>
      </c>
      <c r="AP50" s="200"/>
      <c r="AQ50" s="229">
        <v>0.69</v>
      </c>
    </row>
    <row r="51" spans="2:43" x14ac:dyDescent="0.25">
      <c r="B51" s="13"/>
      <c r="C51" s="13"/>
      <c r="D51" s="13"/>
      <c r="F51" s="1"/>
      <c r="G51" s="1"/>
      <c r="H51" s="1"/>
      <c r="J51" s="12"/>
      <c r="K51" s="13"/>
      <c r="L51" s="92"/>
      <c r="AB51" s="563" t="s">
        <v>207</v>
      </c>
      <c r="AC51" s="563"/>
      <c r="AD51" s="563"/>
      <c r="AE51" s="563"/>
    </row>
    <row r="52" spans="2:43" x14ac:dyDescent="0.25">
      <c r="B52" s="13"/>
      <c r="C52" s="13"/>
      <c r="D52" s="92"/>
      <c r="F52" s="1"/>
      <c r="G52" s="1"/>
      <c r="H52" s="1"/>
      <c r="J52" s="13"/>
      <c r="K52" s="13"/>
      <c r="L52" s="13"/>
      <c r="AB52" s="121" t="s">
        <v>203</v>
      </c>
      <c r="AC52" s="121" t="s">
        <v>204</v>
      </c>
      <c r="AD52" s="121" t="s">
        <v>205</v>
      </c>
      <c r="AE52" s="121" t="s">
        <v>206</v>
      </c>
      <c r="AL52" s="119" t="s">
        <v>219</v>
      </c>
      <c r="AM52" s="119"/>
    </row>
    <row r="53" spans="2:43" x14ac:dyDescent="0.25">
      <c r="B53" s="1"/>
      <c r="I53" s="270"/>
      <c r="AA53" s="123" t="s">
        <v>133</v>
      </c>
      <c r="AB53" s="13">
        <v>1.36E-4</v>
      </c>
      <c r="AC53" s="13">
        <v>1.4799999999999999E-4</v>
      </c>
      <c r="AD53" s="14">
        <v>1.7799999999999999E-4</v>
      </c>
      <c r="AE53" s="14">
        <v>2.5799999999999998E-4</v>
      </c>
      <c r="AL53" s="122" t="s">
        <v>214</v>
      </c>
      <c r="AM53" s="122" t="s">
        <v>215</v>
      </c>
      <c r="AN53" s="122" t="s">
        <v>216</v>
      </c>
      <c r="AO53" s="122" t="s">
        <v>217</v>
      </c>
      <c r="AP53" s="122" t="s">
        <v>218</v>
      </c>
    </row>
    <row r="54" spans="2:43" x14ac:dyDescent="0.25">
      <c r="B54" s="1"/>
      <c r="I54" s="262"/>
      <c r="AA54" s="123" t="s">
        <v>134</v>
      </c>
      <c r="AB54" s="13">
        <v>-2.6662999999999999E-2</v>
      </c>
      <c r="AC54" s="13">
        <v>-2.9159000000000001E-2</v>
      </c>
      <c r="AD54" s="1">
        <v>-3.4851E-2</v>
      </c>
      <c r="AE54" s="1">
        <v>-5.0597999999999997E-2</v>
      </c>
      <c r="AK54" s="345" t="s">
        <v>133</v>
      </c>
      <c r="AL54" s="13">
        <v>3.388E-3</v>
      </c>
      <c r="AM54" s="13">
        <v>1.9780000000000002E-3</v>
      </c>
      <c r="AN54" s="14">
        <v>1.255E-3</v>
      </c>
      <c r="AO54" s="14">
        <v>6.9200000000000002E-4</v>
      </c>
      <c r="AP54" s="14">
        <v>4.3600000000000003E-4</v>
      </c>
    </row>
    <row r="55" spans="2:43" x14ac:dyDescent="0.25">
      <c r="I55" s="262"/>
      <c r="AA55" s="212" t="s">
        <v>136</v>
      </c>
      <c r="AB55" s="13">
        <v>1.309512</v>
      </c>
      <c r="AC55" s="13">
        <v>1.439346</v>
      </c>
      <c r="AD55" s="14">
        <v>1.704521</v>
      </c>
      <c r="AE55" s="14">
        <v>2.4846119999999998</v>
      </c>
      <c r="AK55" s="345" t="s">
        <v>134</v>
      </c>
      <c r="AL55" s="13">
        <v>-9.4509999999999993E-3</v>
      </c>
      <c r="AM55" s="13">
        <v>-5.0930000000000003E-3</v>
      </c>
      <c r="AN55" s="14">
        <v>-3.3119999999999998E-3</v>
      </c>
      <c r="AO55" s="14">
        <v>-1.6479999999999999E-3</v>
      </c>
      <c r="AP55" s="14">
        <v>-1.294E-3</v>
      </c>
    </row>
    <row r="56" spans="2:43" x14ac:dyDescent="0.25">
      <c r="I56" s="262"/>
      <c r="AA56" s="13"/>
      <c r="AB56" s="13"/>
      <c r="AC56" s="92"/>
      <c r="AK56" s="345" t="s">
        <v>136</v>
      </c>
      <c r="AL56" s="13">
        <v>1.189E-3</v>
      </c>
      <c r="AM56" s="13">
        <v>8.3999999999999995E-3</v>
      </c>
      <c r="AN56" s="14">
        <v>6.8599999999999998E-4</v>
      </c>
      <c r="AO56" s="14">
        <v>4.5100000000000001E-4</v>
      </c>
      <c r="AP56" s="14">
        <v>4.55E-4</v>
      </c>
    </row>
    <row r="57" spans="2:43" x14ac:dyDescent="0.25">
      <c r="AA57" s="13"/>
      <c r="AB57" s="13"/>
      <c r="AC57" s="13"/>
      <c r="AK57" s="1"/>
      <c r="AL57" s="13"/>
      <c r="AM57" s="13"/>
      <c r="AN57" s="16"/>
    </row>
    <row r="58" spans="2:43" x14ac:dyDescent="0.25">
      <c r="AK58" s="1"/>
      <c r="AL58" s="13"/>
      <c r="AM58" s="92"/>
    </row>
    <row r="66" spans="2:27" x14ac:dyDescent="0.25">
      <c r="J66" s="15"/>
    </row>
    <row r="74" spans="2:27" x14ac:dyDescent="0.25">
      <c r="F74" s="14" t="str">
        <f>IF(E74="","",IF($B$10&gt;2.5,IF(OR($B$9="71h",$B$9="71i",$B$9="73a",$B$9="74a"),IF(E74&lt;=0.01,1,IF(AND(OR($B$9="71h",$B$9="71i"),E74&gt;0.37),0,ROUND(IF(E74&gt;0.03,'Reference Standards'!$AB$425*E74^2+'Reference Standards'!$AB$426*E74+'Reference Standards'!$AB$427,'Reference Standards'!$AF$426*E74+'Reference Standards'!$AF$427),2))),    IF(E74&lt;=0.002,1,ROUND(E74^2*'Reference Standards'!$AB$347+E74*'Reference Standards'!$AB$348+'Reference Standards'!$AB$349,2))),"DA"))</f>
        <v/>
      </c>
    </row>
    <row r="76" spans="2:27" ht="15.75" thickBot="1" x14ac:dyDescent="0.3">
      <c r="R76" s="14" t="s">
        <v>92</v>
      </c>
    </row>
    <row r="77" spans="2:27" ht="15.75" thickBot="1" x14ac:dyDescent="0.3">
      <c r="B77" s="14" t="s">
        <v>156</v>
      </c>
      <c r="R77" s="5" t="s">
        <v>15</v>
      </c>
      <c r="S77" s="5">
        <v>0.71</v>
      </c>
      <c r="T77" s="149">
        <v>0.41170000000000001</v>
      </c>
      <c r="U77" s="5">
        <v>0.4</v>
      </c>
      <c r="V77" s="164"/>
      <c r="W77" s="5">
        <v>0.19</v>
      </c>
      <c r="X77" s="6">
        <v>0.1</v>
      </c>
    </row>
    <row r="78" spans="2:27" ht="15.75" thickBot="1" x14ac:dyDescent="0.3">
      <c r="B78" s="4" t="s">
        <v>15</v>
      </c>
      <c r="C78" s="347">
        <v>0</v>
      </c>
      <c r="D78" s="347"/>
      <c r="E78" s="347">
        <v>6</v>
      </c>
      <c r="F78" s="347"/>
      <c r="G78" s="347"/>
      <c r="H78" s="348">
        <v>30</v>
      </c>
      <c r="J78" s="13" t="s">
        <v>105</v>
      </c>
      <c r="K78" s="13"/>
      <c r="L78" s="13"/>
      <c r="M78" s="13"/>
      <c r="N78" s="13"/>
      <c r="O78" s="13"/>
      <c r="P78" s="13"/>
      <c r="R78" s="354" t="s">
        <v>16</v>
      </c>
      <c r="S78" s="8">
        <v>0</v>
      </c>
      <c r="T78" s="8">
        <v>0.28999999999999998</v>
      </c>
      <c r="U78" s="9">
        <v>0.3</v>
      </c>
      <c r="V78" s="9">
        <v>0.69</v>
      </c>
      <c r="W78" s="10">
        <v>0.7</v>
      </c>
      <c r="X78" s="11">
        <v>1</v>
      </c>
    </row>
    <row r="79" spans="2:27" ht="15.75" thickBot="1" x14ac:dyDescent="0.3">
      <c r="B79" s="7" t="s">
        <v>16</v>
      </c>
      <c r="C79" s="8">
        <v>0</v>
      </c>
      <c r="D79" s="8">
        <v>0.28999999999999998</v>
      </c>
      <c r="E79" s="9">
        <v>0.3</v>
      </c>
      <c r="F79" s="9">
        <v>0.69</v>
      </c>
      <c r="G79" s="10">
        <v>0.7</v>
      </c>
      <c r="H79" s="11">
        <v>1</v>
      </c>
      <c r="J79" s="5" t="s">
        <v>15</v>
      </c>
      <c r="K79" s="5"/>
      <c r="L79" s="5"/>
      <c r="M79" s="5">
        <v>1.2</v>
      </c>
      <c r="N79" s="5"/>
      <c r="O79" s="5">
        <v>1.4</v>
      </c>
      <c r="P79" s="6">
        <v>2.2000000000000002</v>
      </c>
    </row>
    <row r="80" spans="2:27" ht="15.75" thickBot="1" x14ac:dyDescent="0.3">
      <c r="J80" s="354" t="s">
        <v>16</v>
      </c>
      <c r="K80" s="8">
        <v>0</v>
      </c>
      <c r="L80" s="8">
        <v>0.28999999999999998</v>
      </c>
      <c r="M80" s="9">
        <v>0.3</v>
      </c>
      <c r="N80" s="9">
        <v>0.69</v>
      </c>
      <c r="O80" s="10">
        <v>0.7</v>
      </c>
      <c r="P80" s="11">
        <v>1</v>
      </c>
      <c r="R80" s="21"/>
      <c r="S80" s="166" t="s">
        <v>392</v>
      </c>
      <c r="AA80" s="14" t="s">
        <v>310</v>
      </c>
    </row>
    <row r="81" spans="2:43" x14ac:dyDescent="0.25">
      <c r="C81" s="166" t="s">
        <v>219</v>
      </c>
      <c r="D81" s="116"/>
      <c r="I81" s="365"/>
      <c r="R81" s="18" t="s">
        <v>133</v>
      </c>
      <c r="S81" s="21">
        <v>-4.976</v>
      </c>
      <c r="T81" s="13"/>
      <c r="AA81" s="266" t="s">
        <v>305</v>
      </c>
      <c r="AB81" s="266">
        <v>0.22</v>
      </c>
      <c r="AC81" s="266"/>
      <c r="AD81" s="266">
        <v>0.15</v>
      </c>
      <c r="AE81" s="266"/>
      <c r="AF81" s="266">
        <v>0.01</v>
      </c>
      <c r="AG81" s="267"/>
    </row>
    <row r="82" spans="2:43" x14ac:dyDescent="0.25">
      <c r="B82" s="14" t="s">
        <v>133</v>
      </c>
      <c r="C82" s="14">
        <v>-6.9399999999999996E-4</v>
      </c>
      <c r="D82" s="13"/>
      <c r="F82" s="1"/>
      <c r="G82" s="121"/>
      <c r="H82" s="121"/>
      <c r="I82" s="355"/>
      <c r="J82" s="13"/>
      <c r="K82" s="562" t="s">
        <v>212</v>
      </c>
      <c r="L82" s="562"/>
      <c r="R82" s="18" t="s">
        <v>134</v>
      </c>
      <c r="S82" s="21">
        <v>8.24</v>
      </c>
      <c r="T82" s="13"/>
      <c r="AA82" s="122" t="s">
        <v>306</v>
      </c>
      <c r="AB82" s="122">
        <v>0.67</v>
      </c>
      <c r="AC82" s="122"/>
      <c r="AD82" s="122">
        <v>0.18</v>
      </c>
      <c r="AE82" s="122"/>
      <c r="AF82" s="122">
        <v>0.01</v>
      </c>
      <c r="AG82" s="268"/>
    </row>
    <row r="83" spans="2:43" ht="15.75" thickBot="1" x14ac:dyDescent="0.3">
      <c r="B83" s="13" t="s">
        <v>134</v>
      </c>
      <c r="C83" s="13">
        <v>5.4167E-2</v>
      </c>
      <c r="D83" s="13"/>
      <c r="F83" s="1"/>
      <c r="G83" s="1"/>
      <c r="H83" s="1"/>
      <c r="J83" s="13"/>
      <c r="K83" s="152" t="s">
        <v>138</v>
      </c>
      <c r="L83" s="152" t="s">
        <v>96</v>
      </c>
      <c r="R83" s="18" t="s">
        <v>136</v>
      </c>
      <c r="S83" s="1">
        <v>-5.40198</v>
      </c>
      <c r="T83" s="13"/>
      <c r="U83" s="19"/>
      <c r="AA83" s="122" t="s">
        <v>307</v>
      </c>
      <c r="AB83" s="122">
        <v>0.32</v>
      </c>
      <c r="AC83" s="122"/>
      <c r="AD83" s="122">
        <v>0.25</v>
      </c>
      <c r="AE83" s="122"/>
      <c r="AF83" s="122">
        <v>0.01</v>
      </c>
      <c r="AG83" s="268"/>
      <c r="AK83" s="21" t="s">
        <v>220</v>
      </c>
    </row>
    <row r="84" spans="2:43" x14ac:dyDescent="0.25">
      <c r="B84" s="1" t="s">
        <v>136</v>
      </c>
      <c r="C84" s="13">
        <v>0</v>
      </c>
      <c r="D84" s="13"/>
      <c r="F84" s="1"/>
      <c r="G84" s="1"/>
      <c r="H84" s="1"/>
      <c r="J84" s="12" t="s">
        <v>133</v>
      </c>
      <c r="K84" s="13">
        <v>2</v>
      </c>
      <c r="L84" s="13">
        <v>0.375</v>
      </c>
      <c r="R84" s="123" t="s">
        <v>137</v>
      </c>
      <c r="S84" s="1">
        <v>1.4630000000000001</v>
      </c>
      <c r="T84" s="13"/>
      <c r="U84" s="16"/>
      <c r="AA84" s="122" t="s">
        <v>308</v>
      </c>
      <c r="AB84" s="122">
        <v>0.87</v>
      </c>
      <c r="AC84" s="122"/>
      <c r="AD84" s="122">
        <v>0.39</v>
      </c>
      <c r="AE84" s="122"/>
      <c r="AF84" s="122">
        <v>0.01</v>
      </c>
      <c r="AG84" s="268"/>
      <c r="AK84" s="266" t="s">
        <v>221</v>
      </c>
      <c r="AL84" s="5">
        <v>0</v>
      </c>
      <c r="AM84" s="120"/>
      <c r="AN84" s="117">
        <v>27.9</v>
      </c>
      <c r="AO84" s="117">
        <v>41.75</v>
      </c>
      <c r="AP84" s="117"/>
      <c r="AQ84" s="213">
        <v>49.2</v>
      </c>
    </row>
    <row r="85" spans="2:43" x14ac:dyDescent="0.25">
      <c r="B85" s="13"/>
      <c r="C85" s="13"/>
      <c r="D85" s="92"/>
      <c r="F85" s="1"/>
      <c r="G85" s="1"/>
      <c r="H85" s="1"/>
      <c r="J85" s="12" t="s">
        <v>134</v>
      </c>
      <c r="K85" s="13">
        <v>-2.1</v>
      </c>
      <c r="L85" s="13">
        <v>0.17499999999999999</v>
      </c>
      <c r="R85" s="13"/>
      <c r="S85" s="13"/>
      <c r="T85" s="92"/>
      <c r="AA85" s="122" t="s">
        <v>309</v>
      </c>
      <c r="AB85" s="122">
        <v>0.81</v>
      </c>
      <c r="AC85" s="122"/>
      <c r="AD85" s="122">
        <v>0.45</v>
      </c>
      <c r="AE85" s="122"/>
      <c r="AF85" s="122">
        <v>0.01</v>
      </c>
      <c r="AG85" s="268"/>
      <c r="AK85" s="122" t="s">
        <v>222</v>
      </c>
      <c r="AL85" s="46">
        <v>0</v>
      </c>
      <c r="AM85" s="226"/>
      <c r="AN85" s="130">
        <v>30.4</v>
      </c>
      <c r="AO85" s="130">
        <v>45.5</v>
      </c>
      <c r="AP85" s="130"/>
      <c r="AQ85" s="216">
        <v>53.4</v>
      </c>
    </row>
    <row r="86" spans="2:43" ht="15.75" thickBot="1" x14ac:dyDescent="0.3">
      <c r="B86" s="1"/>
      <c r="I86" s="270"/>
      <c r="J86" s="12"/>
      <c r="K86" s="13"/>
      <c r="L86" s="92"/>
      <c r="AA86" s="354" t="s">
        <v>5</v>
      </c>
      <c r="AB86" s="8">
        <v>0</v>
      </c>
      <c r="AC86" s="8">
        <v>0.28999999999999998</v>
      </c>
      <c r="AD86" s="9">
        <v>0.3</v>
      </c>
      <c r="AE86" s="9">
        <v>0.69</v>
      </c>
      <c r="AF86" s="10">
        <v>0.7</v>
      </c>
      <c r="AG86" s="11">
        <v>1</v>
      </c>
      <c r="AK86" s="122" t="s">
        <v>223</v>
      </c>
      <c r="AL86" s="46">
        <v>0</v>
      </c>
      <c r="AM86" s="226"/>
      <c r="AN86" s="130">
        <v>32.866666666666667</v>
      </c>
      <c r="AO86" s="130">
        <v>49.166666666666664</v>
      </c>
      <c r="AP86" s="130"/>
      <c r="AQ86" s="216">
        <v>57.8</v>
      </c>
    </row>
    <row r="87" spans="2:43" x14ac:dyDescent="0.25">
      <c r="B87" s="1"/>
      <c r="I87" s="262"/>
      <c r="AK87" s="122" t="s">
        <v>224</v>
      </c>
      <c r="AL87" s="46">
        <v>0</v>
      </c>
      <c r="AM87" s="226"/>
      <c r="AN87" s="130">
        <v>35.649999999999991</v>
      </c>
      <c r="AO87" s="130">
        <v>53.349999999999994</v>
      </c>
      <c r="AP87" s="130"/>
      <c r="AQ87" s="216">
        <v>62.5</v>
      </c>
    </row>
    <row r="88" spans="2:43" x14ac:dyDescent="0.25">
      <c r="I88" s="262"/>
      <c r="AA88" s="272"/>
      <c r="AB88" s="271" t="s">
        <v>219</v>
      </c>
      <c r="AC88" s="272"/>
      <c r="AD88" s="246"/>
      <c r="AE88" s="566" t="s">
        <v>135</v>
      </c>
      <c r="AF88" s="567"/>
      <c r="AG88" s="566" t="s">
        <v>250</v>
      </c>
      <c r="AH88" s="567"/>
      <c r="AK88" s="122" t="s">
        <v>225</v>
      </c>
      <c r="AL88" s="46">
        <v>0</v>
      </c>
      <c r="AM88" s="226"/>
      <c r="AN88" s="130">
        <v>37.700000000000003</v>
      </c>
      <c r="AO88" s="130">
        <v>56.45</v>
      </c>
      <c r="AP88" s="130"/>
      <c r="AQ88" s="216">
        <v>66.5</v>
      </c>
    </row>
    <row r="89" spans="2:43" x14ac:dyDescent="0.25">
      <c r="I89" s="262"/>
      <c r="AA89" s="1"/>
      <c r="AB89" s="122" t="s">
        <v>305</v>
      </c>
      <c r="AC89" s="122" t="s">
        <v>308</v>
      </c>
      <c r="AD89" s="269" t="s">
        <v>309</v>
      </c>
      <c r="AE89" s="265" t="s">
        <v>306</v>
      </c>
      <c r="AF89" s="269" t="s">
        <v>307</v>
      </c>
      <c r="AG89" s="265" t="s">
        <v>306</v>
      </c>
      <c r="AH89" s="269" t="s">
        <v>307</v>
      </c>
      <c r="AK89" s="122" t="s">
        <v>226</v>
      </c>
      <c r="AL89" s="46">
        <v>0</v>
      </c>
      <c r="AM89" s="226"/>
      <c r="AN89" s="130">
        <v>38.950000000000003</v>
      </c>
      <c r="AO89" s="130">
        <v>58.349999999999994</v>
      </c>
      <c r="AP89" s="130"/>
      <c r="AQ89" s="216">
        <v>69</v>
      </c>
    </row>
    <row r="90" spans="2:43" ht="15.75" thickBot="1" x14ac:dyDescent="0.3">
      <c r="AA90" s="345" t="s">
        <v>133</v>
      </c>
      <c r="AB90" s="1">
        <v>-6.8026999999999997</v>
      </c>
      <c r="AC90" s="1">
        <v>0.49719999999999998</v>
      </c>
      <c r="AD90" s="241">
        <v>9.4700000000000006E-2</v>
      </c>
      <c r="AE90" s="240"/>
      <c r="AF90" s="262"/>
      <c r="AG90" s="240"/>
      <c r="AH90" s="241"/>
      <c r="AK90" s="354" t="s">
        <v>5</v>
      </c>
      <c r="AL90" s="228">
        <v>0</v>
      </c>
      <c r="AM90" s="228"/>
      <c r="AN90" s="228">
        <v>0.21</v>
      </c>
      <c r="AO90" s="200">
        <v>0.48</v>
      </c>
      <c r="AP90" s="200"/>
      <c r="AQ90" s="229">
        <v>0.69</v>
      </c>
    </row>
    <row r="91" spans="2:43" x14ac:dyDescent="0.25">
      <c r="AA91" s="345" t="s">
        <v>134</v>
      </c>
      <c r="AB91" s="1">
        <v>-1.7686999999999999</v>
      </c>
      <c r="AC91" s="1">
        <v>-1.2515000000000001</v>
      </c>
      <c r="AD91" s="241">
        <v>-0.95269999999999999</v>
      </c>
      <c r="AE91" s="240">
        <v>-0.61219999999999997</v>
      </c>
      <c r="AF91" s="270">
        <v>-4.2857000000000003</v>
      </c>
      <c r="AG91" s="263">
        <v>-2.3529</v>
      </c>
      <c r="AH91" s="241">
        <v>-1.6667000000000001</v>
      </c>
      <c r="AK91" s="1"/>
      <c r="AL91" s="13"/>
      <c r="AM91" s="13"/>
    </row>
    <row r="92" spans="2:43" x14ac:dyDescent="0.25">
      <c r="AA92" s="358" t="s">
        <v>136</v>
      </c>
      <c r="AB92" s="243">
        <v>0.71840000000000004</v>
      </c>
      <c r="AC92" s="243">
        <v>0.71250000000000002</v>
      </c>
      <c r="AD92" s="247">
        <v>0.70950000000000002</v>
      </c>
      <c r="AE92" s="242">
        <v>0.41020000000000001</v>
      </c>
      <c r="AF92" s="244">
        <v>1.3714</v>
      </c>
      <c r="AG92" s="242">
        <v>0.72350000000000003</v>
      </c>
      <c r="AH92" s="247">
        <v>0.7167</v>
      </c>
      <c r="AK92" s="18"/>
      <c r="AL92" s="119" t="s">
        <v>219</v>
      </c>
      <c r="AM92" s="13"/>
    </row>
    <row r="93" spans="2:43" x14ac:dyDescent="0.25">
      <c r="AA93" s="13"/>
      <c r="AB93" s="13"/>
      <c r="AC93" s="13"/>
      <c r="AD93" s="16"/>
      <c r="AE93" s="1"/>
      <c r="AF93" s="1"/>
      <c r="AG93" s="1"/>
      <c r="AL93" s="122" t="s">
        <v>221</v>
      </c>
      <c r="AM93" s="122" t="s">
        <v>222</v>
      </c>
      <c r="AN93" s="122" t="s">
        <v>223</v>
      </c>
      <c r="AO93" s="122" t="s">
        <v>224</v>
      </c>
      <c r="AP93" s="122" t="s">
        <v>225</v>
      </c>
      <c r="AQ93" s="122" t="s">
        <v>226</v>
      </c>
    </row>
    <row r="94" spans="2:43" x14ac:dyDescent="0.25">
      <c r="AA94" s="13"/>
      <c r="AB94" s="13"/>
      <c r="AC94" s="92"/>
      <c r="AE94" s="1"/>
      <c r="AF94" s="1"/>
      <c r="AG94" s="1"/>
      <c r="AK94" s="18" t="s">
        <v>133</v>
      </c>
      <c r="AL94" s="14">
        <v>3.0800000000000001E-4</v>
      </c>
      <c r="AM94" s="92">
        <v>2.6400000000000002E-4</v>
      </c>
      <c r="AN94" s="16">
        <v>2.2499999999999999E-4</v>
      </c>
      <c r="AO94" s="14">
        <v>1.94E-4</v>
      </c>
      <c r="AP94" s="14">
        <v>1.6799999999999999E-4</v>
      </c>
      <c r="AQ94" s="14">
        <v>1.54E-4</v>
      </c>
    </row>
    <row r="95" spans="2:43" x14ac:dyDescent="0.25">
      <c r="AK95" s="345" t="s">
        <v>134</v>
      </c>
      <c r="AL95" s="13">
        <v>-1.2049999999999999E-3</v>
      </c>
      <c r="AM95" s="92">
        <v>-1.2979999999999999E-3</v>
      </c>
      <c r="AN95" s="14">
        <v>-1.14E-3</v>
      </c>
      <c r="AO95" s="14">
        <v>-1.1850000000000001E-3</v>
      </c>
      <c r="AP95" s="14">
        <v>-8.8999999999999995E-4</v>
      </c>
      <c r="AQ95" s="14">
        <v>-7.0699999999999995E-4</v>
      </c>
    </row>
    <row r="96" spans="2:43" x14ac:dyDescent="0.25">
      <c r="AK96" s="345" t="s">
        <v>136</v>
      </c>
      <c r="AL96" s="13">
        <v>5.0049999999999997E-4</v>
      </c>
      <c r="AM96" s="14">
        <v>6.4700000000000001E-4</v>
      </c>
      <c r="AN96" s="14">
        <v>5.8399999999999999E-4</v>
      </c>
      <c r="AO96" s="14">
        <v>7.0600000000000003E-4</v>
      </c>
      <c r="AP96" s="14">
        <v>5.2499999999999997E-4</v>
      </c>
      <c r="AQ96" s="14">
        <v>3.97E-4</v>
      </c>
    </row>
    <row r="97" spans="2:24" x14ac:dyDescent="0.25">
      <c r="M97" s="1"/>
      <c r="N97" s="2"/>
      <c r="O97" s="2"/>
      <c r="P97" s="2"/>
    </row>
    <row r="98" spans="2:24" x14ac:dyDescent="0.25">
      <c r="M98" s="1"/>
      <c r="N98" s="2"/>
      <c r="O98" s="2"/>
      <c r="P98" s="2"/>
    </row>
    <row r="99" spans="2:24" x14ac:dyDescent="0.25">
      <c r="N99" s="1"/>
      <c r="O99" s="1"/>
      <c r="P99" s="1"/>
    </row>
    <row r="100" spans="2:24" x14ac:dyDescent="0.25">
      <c r="N100" s="1"/>
      <c r="O100" s="1"/>
      <c r="P100" s="1"/>
    </row>
    <row r="101" spans="2:24" x14ac:dyDescent="0.25">
      <c r="N101" s="1"/>
      <c r="O101" s="1"/>
      <c r="P101" s="1"/>
    </row>
    <row r="102" spans="2:24" x14ac:dyDescent="0.25">
      <c r="N102" s="1"/>
      <c r="O102" s="1"/>
      <c r="P102" s="1"/>
    </row>
    <row r="103" spans="2:24" x14ac:dyDescent="0.25">
      <c r="N103" s="2"/>
      <c r="O103" s="2"/>
      <c r="P103" s="2"/>
    </row>
    <row r="104" spans="2:24" x14ac:dyDescent="0.25">
      <c r="N104" s="2"/>
      <c r="O104" s="2"/>
      <c r="P104" s="2"/>
    </row>
    <row r="105" spans="2:24" x14ac:dyDescent="0.25">
      <c r="N105" s="1"/>
      <c r="O105" s="1"/>
      <c r="P105" s="1"/>
    </row>
    <row r="106" spans="2:24" x14ac:dyDescent="0.25">
      <c r="N106" s="1"/>
      <c r="O106" s="1"/>
      <c r="P106" s="1"/>
    </row>
    <row r="107" spans="2:24" x14ac:dyDescent="0.25">
      <c r="F107" s="14" t="str">
        <f>IF(E107="","",IF($B$10&gt;2.5,IF(OR($B$9="71h",$B$9="71i",$B$9="73a",$B$9="74a"),IF(E107&lt;=0.01,1,IF(AND(OR($B$9="71h",$B$9="71i"),E107&gt;0.37),0,ROUND(IF(E107&gt;0.03,'Reference Standards'!$AB$425*E107^2+'Reference Standards'!$AB$426*E107+'Reference Standards'!$AB$427,'Reference Standards'!$AF$426*E107+'Reference Standards'!$AF$427),2))),    IF(E107&lt;=0.002,1,ROUND(E107^2*'Reference Standards'!$AB$347+E107*'Reference Standards'!$AB$348+'Reference Standards'!$AB$349,2))),"DA"))</f>
        <v/>
      </c>
      <c r="N107" s="1"/>
      <c r="O107" s="1"/>
      <c r="P107" s="1"/>
    </row>
    <row r="108" spans="2:24" x14ac:dyDescent="0.25">
      <c r="N108" s="1"/>
      <c r="O108" s="1"/>
      <c r="P108" s="1"/>
    </row>
    <row r="109" spans="2:24" x14ac:dyDescent="0.25">
      <c r="N109" s="1"/>
      <c r="O109" s="1"/>
      <c r="P109" s="1"/>
    </row>
    <row r="110" spans="2:24" ht="15.75" thickBot="1" x14ac:dyDescent="0.3">
      <c r="B110" s="14" t="s">
        <v>258</v>
      </c>
      <c r="N110" s="1"/>
      <c r="O110" s="1"/>
      <c r="P110" s="1"/>
    </row>
    <row r="111" spans="2:24" ht="15.75" thickBot="1" x14ac:dyDescent="0.3">
      <c r="B111" s="174" t="s">
        <v>157</v>
      </c>
      <c r="C111" s="346">
        <f>(C114-$C$119)/$C$118</f>
        <v>1.953846153846154</v>
      </c>
      <c r="D111" s="347"/>
      <c r="E111" s="347">
        <v>1.8</v>
      </c>
      <c r="F111" s="347">
        <v>1.6</v>
      </c>
      <c r="G111" s="347"/>
      <c r="H111" s="349">
        <f>(H114-$C$119)/$C$118</f>
        <v>1.441025641025641</v>
      </c>
      <c r="M111" s="1"/>
      <c r="N111" s="1"/>
      <c r="O111" s="1"/>
      <c r="P111" s="1"/>
      <c r="R111" s="14" t="s">
        <v>102</v>
      </c>
    </row>
    <row r="112" spans="2:24" x14ac:dyDescent="0.25">
      <c r="B112" s="175" t="s">
        <v>158</v>
      </c>
      <c r="C112" s="350">
        <f>(C114-$D$119)/$D$118</f>
        <v>1.8423076923076924</v>
      </c>
      <c r="D112" s="351"/>
      <c r="E112" s="351">
        <v>1.65</v>
      </c>
      <c r="F112" s="351">
        <v>1.4</v>
      </c>
      <c r="G112" s="351"/>
      <c r="H112" s="352">
        <f>(H114-$D$119)/$D$118</f>
        <v>1.2012820512820512</v>
      </c>
      <c r="M112" s="1"/>
      <c r="N112" s="1"/>
      <c r="O112" s="1"/>
      <c r="P112" s="1"/>
      <c r="R112" s="5" t="s">
        <v>15</v>
      </c>
      <c r="S112" s="5">
        <v>41</v>
      </c>
      <c r="T112" s="5"/>
      <c r="U112" s="5">
        <v>25</v>
      </c>
      <c r="V112" s="5"/>
      <c r="W112" s="5">
        <v>9</v>
      </c>
      <c r="X112" s="6">
        <v>5</v>
      </c>
    </row>
    <row r="113" spans="2:43" ht="15.75" thickBot="1" x14ac:dyDescent="0.3">
      <c r="B113" s="175" t="s">
        <v>159</v>
      </c>
      <c r="C113" s="350">
        <f>(C114-$E$119)/$E$118</f>
        <v>1.7545773645764158</v>
      </c>
      <c r="D113" s="353"/>
      <c r="E113" s="353">
        <v>1.47</v>
      </c>
      <c r="F113" s="353">
        <v>1.1000000000000001</v>
      </c>
      <c r="G113" s="353"/>
      <c r="H113" s="352">
        <f>(H114-$E$119)/$E$118</f>
        <v>0.80590076842804281</v>
      </c>
      <c r="M113" s="1"/>
      <c r="N113" s="1"/>
      <c r="O113" s="1"/>
      <c r="P113" s="1"/>
      <c r="R113" s="354" t="s">
        <v>16</v>
      </c>
      <c r="S113" s="8">
        <v>0</v>
      </c>
      <c r="T113" s="8">
        <v>0.28999999999999998</v>
      </c>
      <c r="U113" s="9">
        <v>0.3</v>
      </c>
      <c r="V113" s="9">
        <v>0.69</v>
      </c>
      <c r="W113" s="10">
        <v>0.7</v>
      </c>
      <c r="X113" s="11">
        <v>1</v>
      </c>
    </row>
    <row r="114" spans="2:43" ht="15.75" thickBot="1" x14ac:dyDescent="0.3">
      <c r="B114" s="7" t="s">
        <v>16</v>
      </c>
      <c r="C114" s="8">
        <v>0</v>
      </c>
      <c r="D114" s="8">
        <v>0.28999999999999998</v>
      </c>
      <c r="E114" s="9">
        <v>0.3</v>
      </c>
      <c r="F114" s="9">
        <v>0.69</v>
      </c>
      <c r="G114" s="10">
        <v>0.7</v>
      </c>
      <c r="H114" s="11">
        <v>1</v>
      </c>
      <c r="M114" s="1"/>
      <c r="N114" s="1"/>
      <c r="O114" s="1"/>
      <c r="P114" s="1"/>
    </row>
    <row r="115" spans="2:43" x14ac:dyDescent="0.25">
      <c r="M115" s="1"/>
      <c r="N115" s="1"/>
      <c r="O115" s="1"/>
      <c r="P115" s="1"/>
      <c r="S115" s="166" t="s">
        <v>392</v>
      </c>
    </row>
    <row r="116" spans="2:43" x14ac:dyDescent="0.25">
      <c r="C116" s="401" t="s">
        <v>212</v>
      </c>
      <c r="D116" s="401"/>
      <c r="E116" s="401"/>
      <c r="J116" s="1"/>
      <c r="K116" s="1"/>
      <c r="L116" s="1"/>
      <c r="M116" s="1"/>
      <c r="N116" s="1"/>
      <c r="O116" s="1"/>
      <c r="P116" s="1"/>
      <c r="R116" s="123" t="s">
        <v>133</v>
      </c>
      <c r="S116" s="13">
        <v>-6.402E-5</v>
      </c>
      <c r="T116" s="13"/>
    </row>
    <row r="117" spans="2:43" ht="15.75" thickBot="1" x14ac:dyDescent="0.3">
      <c r="C117" s="14" t="s">
        <v>157</v>
      </c>
      <c r="D117" s="13" t="s">
        <v>160</v>
      </c>
      <c r="E117" s="14" t="s">
        <v>159</v>
      </c>
      <c r="F117" s="1"/>
      <c r="G117" s="121"/>
      <c r="H117" s="121"/>
      <c r="R117" s="123" t="s">
        <v>134</v>
      </c>
      <c r="S117" s="13">
        <v>4.9967400000000004E-3</v>
      </c>
      <c r="T117" s="13"/>
      <c r="AA117" s="14" t="s">
        <v>310</v>
      </c>
    </row>
    <row r="118" spans="2:43" x14ac:dyDescent="0.25">
      <c r="B118" s="14" t="s">
        <v>133</v>
      </c>
      <c r="C118" s="14">
        <v>-1.95</v>
      </c>
      <c r="D118" s="13">
        <v>-1.56</v>
      </c>
      <c r="E118" s="14">
        <v>-1.0541</v>
      </c>
      <c r="F118" s="1"/>
      <c r="G118" s="1"/>
      <c r="H118" s="1"/>
      <c r="R118" s="123" t="s">
        <v>136</v>
      </c>
      <c r="S118" s="13">
        <v>-0.13528754000000001</v>
      </c>
      <c r="T118" s="13"/>
      <c r="AA118" s="266" t="s">
        <v>311</v>
      </c>
      <c r="AB118" s="266">
        <v>3</v>
      </c>
      <c r="AC118" s="266"/>
      <c r="AD118" s="266">
        <v>1.7</v>
      </c>
      <c r="AE118" s="266"/>
      <c r="AF118" s="266">
        <v>0.01</v>
      </c>
      <c r="AG118" s="267">
        <v>0</v>
      </c>
    </row>
    <row r="119" spans="2:43" x14ac:dyDescent="0.25">
      <c r="B119" s="13" t="s">
        <v>134</v>
      </c>
      <c r="C119" s="13">
        <v>3.81</v>
      </c>
      <c r="D119" s="13">
        <v>2.8740000000000001</v>
      </c>
      <c r="E119" s="14">
        <v>1.8494999999999999</v>
      </c>
      <c r="F119" s="1"/>
      <c r="G119" s="1"/>
      <c r="H119" s="1"/>
      <c r="R119" s="123" t="s">
        <v>137</v>
      </c>
      <c r="S119" s="13">
        <v>1.5595214799999999</v>
      </c>
      <c r="T119" s="92"/>
      <c r="AA119" s="122" t="s">
        <v>312</v>
      </c>
      <c r="AB119" s="122">
        <v>0.14000000000000001</v>
      </c>
      <c r="AC119" s="122"/>
      <c r="AD119" s="122">
        <v>0.11</v>
      </c>
      <c r="AE119" s="122"/>
      <c r="AF119" s="122">
        <v>0.02</v>
      </c>
      <c r="AG119" s="268">
        <v>0.01</v>
      </c>
    </row>
    <row r="120" spans="2:43" x14ac:dyDescent="0.25">
      <c r="B120" s="13"/>
      <c r="C120" s="13"/>
      <c r="D120" s="92"/>
      <c r="F120" s="1"/>
      <c r="G120" s="1"/>
      <c r="H120" s="1"/>
      <c r="AA120" s="122" t="s">
        <v>314</v>
      </c>
      <c r="AB120" s="122">
        <v>1.9</v>
      </c>
      <c r="AC120" s="122"/>
      <c r="AD120" s="122">
        <v>1.4</v>
      </c>
      <c r="AE120" s="122"/>
      <c r="AF120" s="122">
        <v>0.05</v>
      </c>
      <c r="AG120" s="268">
        <v>0.01</v>
      </c>
    </row>
    <row r="121" spans="2:43" ht="15.75" thickBot="1" x14ac:dyDescent="0.3">
      <c r="B121" s="1"/>
      <c r="AA121" s="122" t="s">
        <v>315</v>
      </c>
      <c r="AB121" s="122">
        <v>1.44</v>
      </c>
      <c r="AC121" s="122"/>
      <c r="AD121" s="122">
        <v>0.86</v>
      </c>
      <c r="AE121" s="122"/>
      <c r="AF121" s="122">
        <v>0.12</v>
      </c>
      <c r="AG121" s="268">
        <v>0.01</v>
      </c>
      <c r="AK121" s="21" t="s">
        <v>231</v>
      </c>
    </row>
    <row r="122" spans="2:43" ht="15.75" thickBot="1" x14ac:dyDescent="0.3">
      <c r="B122" s="1"/>
      <c r="AA122" s="354" t="s">
        <v>5</v>
      </c>
      <c r="AB122" s="8">
        <v>0</v>
      </c>
      <c r="AC122" s="8">
        <v>0.28999999999999998</v>
      </c>
      <c r="AD122" s="9">
        <v>0.3</v>
      </c>
      <c r="AE122" s="9">
        <v>0.69</v>
      </c>
      <c r="AF122" s="10">
        <v>0.7</v>
      </c>
      <c r="AG122" s="11">
        <v>1</v>
      </c>
      <c r="AK122" s="266" t="s">
        <v>214</v>
      </c>
      <c r="AL122" s="117">
        <v>0</v>
      </c>
      <c r="AM122" s="117"/>
      <c r="AN122" s="117">
        <v>4.5999999999999996</v>
      </c>
      <c r="AO122" s="117">
        <v>6.8</v>
      </c>
      <c r="AP122" s="117"/>
      <c r="AQ122" s="213">
        <v>8.1</v>
      </c>
    </row>
    <row r="123" spans="2:43" x14ac:dyDescent="0.25">
      <c r="AK123" s="122" t="s">
        <v>194</v>
      </c>
      <c r="AL123" s="130">
        <v>0</v>
      </c>
      <c r="AM123" s="130"/>
      <c r="AN123" s="130">
        <v>15.7</v>
      </c>
      <c r="AO123" s="130">
        <v>23.5</v>
      </c>
      <c r="AP123" s="130"/>
      <c r="AQ123" s="216">
        <v>28</v>
      </c>
    </row>
    <row r="124" spans="2:43" x14ac:dyDescent="0.25">
      <c r="AA124" s="272"/>
      <c r="AB124" s="271" t="s">
        <v>219</v>
      </c>
      <c r="AC124" s="272"/>
      <c r="AD124" s="566" t="s">
        <v>138</v>
      </c>
      <c r="AE124" s="567"/>
      <c r="AF124" s="566" t="s">
        <v>274</v>
      </c>
      <c r="AG124" s="567"/>
      <c r="AK124" s="122" t="s">
        <v>232</v>
      </c>
      <c r="AL124" s="130">
        <v>0</v>
      </c>
      <c r="AM124" s="130"/>
      <c r="AN124" s="130">
        <v>18.2</v>
      </c>
      <c r="AO124" s="130">
        <v>27.2</v>
      </c>
      <c r="AP124" s="130"/>
      <c r="AQ124" s="216">
        <v>32.5</v>
      </c>
    </row>
    <row r="125" spans="2:43" x14ac:dyDescent="0.25">
      <c r="AA125" s="1"/>
      <c r="AB125" s="122" t="s">
        <v>311</v>
      </c>
      <c r="AC125" s="1" t="s">
        <v>312</v>
      </c>
      <c r="AD125" s="265" t="s">
        <v>314</v>
      </c>
      <c r="AE125" s="240" t="s">
        <v>315</v>
      </c>
      <c r="AF125" s="265" t="s">
        <v>314</v>
      </c>
      <c r="AG125" s="240" t="s">
        <v>315</v>
      </c>
      <c r="AK125" s="122" t="s">
        <v>233</v>
      </c>
      <c r="AL125" s="130">
        <v>0</v>
      </c>
      <c r="AM125" s="130"/>
      <c r="AN125" s="130">
        <v>20.5</v>
      </c>
      <c r="AO125" s="130">
        <v>30.7</v>
      </c>
      <c r="AP125" s="130"/>
      <c r="AQ125" s="216">
        <v>36.799999999999997</v>
      </c>
    </row>
    <row r="126" spans="2:43" x14ac:dyDescent="0.25">
      <c r="AA126" s="345" t="s">
        <v>133</v>
      </c>
      <c r="AB126" s="14">
        <v>2E-3</v>
      </c>
      <c r="AC126" s="1">
        <v>-46.295999999999999</v>
      </c>
      <c r="AD126" s="14">
        <v>-0.16420000000000001</v>
      </c>
      <c r="AE126" s="262">
        <v>1.77E-2</v>
      </c>
      <c r="AF126" s="240"/>
      <c r="AG126" s="241"/>
      <c r="AK126" s="122" t="s">
        <v>234</v>
      </c>
      <c r="AL126" s="130">
        <v>0</v>
      </c>
      <c r="AM126" s="130"/>
      <c r="AN126" s="130">
        <v>23.950000000000003</v>
      </c>
      <c r="AO126" s="130">
        <v>35.799999999999997</v>
      </c>
      <c r="AP126" s="130"/>
      <c r="AQ126" s="216">
        <v>42.6</v>
      </c>
    </row>
    <row r="127" spans="2:43" ht="15.75" thickBot="1" x14ac:dyDescent="0.3">
      <c r="AA127" s="345" t="s">
        <v>134</v>
      </c>
      <c r="AB127" s="1">
        <v>-0.24010000000000001</v>
      </c>
      <c r="AC127" s="1">
        <v>1.5741000000000001</v>
      </c>
      <c r="AD127" s="240">
        <v>-5.8299999999999998E-2</v>
      </c>
      <c r="AE127" s="270">
        <v>-0.55779999999999996</v>
      </c>
      <c r="AF127" s="263">
        <v>-7.5</v>
      </c>
      <c r="AG127" s="1">
        <v>-2.7273000000000001</v>
      </c>
      <c r="AK127" s="354" t="s">
        <v>5</v>
      </c>
      <c r="AL127" s="228">
        <v>0</v>
      </c>
      <c r="AM127" s="228"/>
      <c r="AN127" s="228">
        <v>0.21</v>
      </c>
      <c r="AO127" s="200">
        <v>0.48</v>
      </c>
      <c r="AP127" s="200"/>
      <c r="AQ127" s="229">
        <v>0.69</v>
      </c>
    </row>
    <row r="128" spans="2:43" x14ac:dyDescent="0.25">
      <c r="AA128" s="358" t="s">
        <v>136</v>
      </c>
      <c r="AB128" s="243">
        <v>0.70240000000000002</v>
      </c>
      <c r="AC128" s="243">
        <v>0.68700000000000006</v>
      </c>
      <c r="AD128" s="242">
        <v>0.70330000000000004</v>
      </c>
      <c r="AE128" s="244">
        <v>0.76670000000000005</v>
      </c>
      <c r="AF128" s="242">
        <v>1.075</v>
      </c>
      <c r="AG128" s="1">
        <v>1.0273000000000001</v>
      </c>
    </row>
    <row r="129" spans="25:42" x14ac:dyDescent="0.25">
      <c r="AA129" s="13"/>
      <c r="AB129" s="13"/>
      <c r="AC129" s="13"/>
      <c r="AD129" s="16"/>
      <c r="AE129" s="1"/>
      <c r="AG129" s="1"/>
      <c r="AK129" s="18"/>
      <c r="AL129" s="119" t="s">
        <v>219</v>
      </c>
    </row>
    <row r="130" spans="25:42" x14ac:dyDescent="0.25">
      <c r="AA130" s="13"/>
      <c r="AB130" s="13"/>
      <c r="AC130" s="92"/>
      <c r="AE130" s="1"/>
      <c r="AG130" s="1"/>
      <c r="AK130" s="18"/>
      <c r="AL130" s="122" t="s">
        <v>214</v>
      </c>
      <c r="AM130" s="122" t="s">
        <v>194</v>
      </c>
      <c r="AN130" s="122" t="s">
        <v>232</v>
      </c>
      <c r="AO130" s="122" t="s">
        <v>233</v>
      </c>
      <c r="AP130" s="122" t="s">
        <v>234</v>
      </c>
    </row>
    <row r="131" spans="25:42" x14ac:dyDescent="0.25">
      <c r="AK131" s="18" t="s">
        <v>133</v>
      </c>
      <c r="AL131" s="14">
        <v>1.1289E-2</v>
      </c>
      <c r="AM131" s="16">
        <v>9.1799999999999998E-4</v>
      </c>
      <c r="AN131" s="16">
        <v>6.78E-4</v>
      </c>
      <c r="AO131" s="14">
        <v>5.2099999999999998E-4</v>
      </c>
      <c r="AP131" s="14">
        <v>3.9899999999999999E-4</v>
      </c>
    </row>
    <row r="132" spans="25:42" x14ac:dyDescent="0.25">
      <c r="AK132" s="18" t="s">
        <v>134</v>
      </c>
      <c r="AL132" s="13">
        <v>-6.2249999999999996E-3</v>
      </c>
      <c r="AM132" s="16">
        <v>-1.0950000000000001E-3</v>
      </c>
      <c r="AN132" s="14">
        <v>-7.8899999999999999E-4</v>
      </c>
      <c r="AO132" s="14">
        <v>-3.88E-4</v>
      </c>
      <c r="AP132" s="14">
        <v>-8.4599999999999996E-4</v>
      </c>
    </row>
    <row r="133" spans="25:42" x14ac:dyDescent="0.25">
      <c r="AK133" s="18" t="s">
        <v>136</v>
      </c>
      <c r="AL133" s="13">
        <v>-2.9E-5</v>
      </c>
      <c r="AM133" s="14">
        <v>1.12E-4</v>
      </c>
      <c r="AN133" s="14">
        <v>-1.2E-5</v>
      </c>
      <c r="AO133" s="14">
        <v>-1.0900000000000001E-4</v>
      </c>
      <c r="AP133" s="14">
        <v>-1.44E-4</v>
      </c>
    </row>
    <row r="134" spans="25:42" x14ac:dyDescent="0.25">
      <c r="Y134" s="2"/>
    </row>
    <row r="135" spans="25:42" x14ac:dyDescent="0.25">
      <c r="Y135" s="1"/>
    </row>
    <row r="136" spans="25:42" x14ac:dyDescent="0.25">
      <c r="Y136" s="1"/>
    </row>
    <row r="146" spans="18:37" ht="15.75" thickBot="1" x14ac:dyDescent="0.3">
      <c r="R146" s="13" t="s">
        <v>119</v>
      </c>
      <c r="S146" s="13"/>
      <c r="T146" s="13"/>
      <c r="U146" s="13"/>
      <c r="V146" s="13"/>
      <c r="W146" s="13"/>
      <c r="X146" s="13"/>
    </row>
    <row r="147" spans="18:37" x14ac:dyDescent="0.25">
      <c r="R147" s="5" t="s">
        <v>15</v>
      </c>
      <c r="S147" s="5">
        <v>0</v>
      </c>
      <c r="T147" s="5"/>
      <c r="U147" s="5">
        <v>25</v>
      </c>
      <c r="V147" s="5"/>
      <c r="W147" s="5">
        <v>61</v>
      </c>
      <c r="X147" s="6">
        <v>90.54</v>
      </c>
    </row>
    <row r="148" spans="18:37" ht="15.75" thickBot="1" x14ac:dyDescent="0.3">
      <c r="R148" s="354" t="s">
        <v>16</v>
      </c>
      <c r="S148" s="8">
        <v>0</v>
      </c>
      <c r="T148" s="8">
        <v>0.28999999999999998</v>
      </c>
      <c r="U148" s="9">
        <v>0.3</v>
      </c>
      <c r="V148" s="9">
        <v>0.69</v>
      </c>
      <c r="W148" s="10">
        <v>0.7</v>
      </c>
      <c r="X148" s="11">
        <v>1</v>
      </c>
    </row>
    <row r="150" spans="18:37" x14ac:dyDescent="0.25">
      <c r="S150" s="166" t="s">
        <v>219</v>
      </c>
    </row>
    <row r="151" spans="18:37" x14ac:dyDescent="0.25">
      <c r="R151" s="123" t="s">
        <v>133</v>
      </c>
      <c r="S151" s="13">
        <f>-1.457*10^-5</f>
        <v>-1.4570000000000001E-5</v>
      </c>
      <c r="T151" s="13"/>
      <c r="U151" s="13"/>
      <c r="V151" s="13"/>
      <c r="W151" s="13"/>
      <c r="X151" s="13"/>
    </row>
    <row r="152" spans="18:37" x14ac:dyDescent="0.25">
      <c r="R152" s="123" t="s">
        <v>134</v>
      </c>
      <c r="S152" s="13">
        <v>1.2359999999999999E-2</v>
      </c>
      <c r="T152" s="13"/>
      <c r="U152" s="13"/>
      <c r="V152" s="13"/>
      <c r="W152" s="13"/>
      <c r="X152" s="13"/>
    </row>
    <row r="153" spans="18:37" ht="21.75" thickBot="1" x14ac:dyDescent="0.4">
      <c r="R153" s="125" t="s">
        <v>136</v>
      </c>
      <c r="S153" s="124">
        <v>0</v>
      </c>
      <c r="T153" s="124"/>
      <c r="U153" s="13"/>
      <c r="V153" s="91"/>
      <c r="W153" s="13"/>
      <c r="X153" s="13"/>
      <c r="AA153" s="14" t="s">
        <v>310</v>
      </c>
    </row>
    <row r="154" spans="18:37" x14ac:dyDescent="0.25">
      <c r="R154" s="13"/>
      <c r="S154" s="13"/>
      <c r="T154" s="92"/>
      <c r="U154" s="13"/>
      <c r="V154" s="13"/>
      <c r="W154" s="13"/>
      <c r="X154" s="92"/>
      <c r="AA154" s="266" t="s">
        <v>316</v>
      </c>
      <c r="AB154" s="266">
        <v>0.46</v>
      </c>
      <c r="AC154" s="266"/>
      <c r="AD154" s="266">
        <v>0.25</v>
      </c>
      <c r="AE154" s="266"/>
      <c r="AF154" s="266">
        <v>0.08</v>
      </c>
      <c r="AG154" s="267">
        <v>0.02</v>
      </c>
    </row>
    <row r="155" spans="18:37" x14ac:dyDescent="0.25">
      <c r="R155" s="13"/>
      <c r="S155" s="13"/>
      <c r="T155" s="92"/>
      <c r="U155" s="13"/>
      <c r="V155" s="13"/>
      <c r="W155" s="13"/>
      <c r="X155" s="92"/>
      <c r="AA155" s="122" t="s">
        <v>317</v>
      </c>
      <c r="AB155" s="122">
        <v>3</v>
      </c>
      <c r="AC155" s="122"/>
      <c r="AD155" s="122">
        <v>2.1</v>
      </c>
      <c r="AE155" s="122"/>
      <c r="AF155" s="122">
        <v>0.24</v>
      </c>
      <c r="AG155" s="268">
        <v>0.06</v>
      </c>
    </row>
    <row r="156" spans="18:37" x14ac:dyDescent="0.25">
      <c r="AA156" s="122" t="s">
        <v>318</v>
      </c>
      <c r="AB156" s="122">
        <v>1.3</v>
      </c>
      <c r="AC156" s="122"/>
      <c r="AD156" s="122">
        <v>0.48</v>
      </c>
      <c r="AE156" s="122"/>
      <c r="AF156" s="122"/>
      <c r="AG156" s="268">
        <v>0.28999999999999998</v>
      </c>
    </row>
    <row r="157" spans="18:37" x14ac:dyDescent="0.25">
      <c r="AA157" s="122" t="s">
        <v>319</v>
      </c>
      <c r="AB157" s="122">
        <v>4.3</v>
      </c>
      <c r="AC157" s="122"/>
      <c r="AD157" s="122">
        <v>3.0750000000000002</v>
      </c>
      <c r="AE157" s="122"/>
      <c r="AF157" s="122">
        <v>0.67</v>
      </c>
      <c r="AG157" s="268">
        <v>0.53</v>
      </c>
    </row>
    <row r="158" spans="18:37" ht="15.75" thickBot="1" x14ac:dyDescent="0.3">
      <c r="AA158" s="354" t="s">
        <v>5</v>
      </c>
      <c r="AB158" s="8">
        <v>0</v>
      </c>
      <c r="AC158" s="8">
        <v>0.28999999999999998</v>
      </c>
      <c r="AD158" s="9">
        <v>0.3</v>
      </c>
      <c r="AE158" s="9">
        <v>0.69</v>
      </c>
      <c r="AF158" s="10">
        <v>0.7</v>
      </c>
      <c r="AG158" s="11">
        <v>1</v>
      </c>
    </row>
    <row r="160" spans="18:37" ht="15.75" thickBot="1" x14ac:dyDescent="0.3">
      <c r="AA160" s="272"/>
      <c r="AB160" s="271" t="s">
        <v>219</v>
      </c>
      <c r="AC160" s="272"/>
      <c r="AD160" s="138"/>
      <c r="AE160" s="258"/>
      <c r="AF160" s="568" t="s">
        <v>274</v>
      </c>
      <c r="AG160" s="568"/>
      <c r="AH160" s="568"/>
      <c r="AI160" s="567"/>
      <c r="AK160" s="21" t="s">
        <v>241</v>
      </c>
    </row>
    <row r="161" spans="27:43" x14ac:dyDescent="0.25">
      <c r="AA161" s="1"/>
      <c r="AB161" s="122" t="s">
        <v>316</v>
      </c>
      <c r="AC161" s="122" t="s">
        <v>317</v>
      </c>
      <c r="AD161" s="122" t="s">
        <v>318</v>
      </c>
      <c r="AE161" s="269" t="s">
        <v>319</v>
      </c>
      <c r="AF161" s="122" t="s">
        <v>316</v>
      </c>
      <c r="AG161" s="122" t="s">
        <v>317</v>
      </c>
      <c r="AH161" s="122" t="s">
        <v>318</v>
      </c>
      <c r="AI161" s="269" t="s">
        <v>319</v>
      </c>
      <c r="AK161" s="266" t="s">
        <v>235</v>
      </c>
      <c r="AL161" s="117">
        <v>0</v>
      </c>
      <c r="AM161" s="117"/>
      <c r="AN161" s="117">
        <v>26.833333333333332</v>
      </c>
      <c r="AO161" s="117">
        <v>40.133333333333333</v>
      </c>
      <c r="AP161" s="117"/>
      <c r="AQ161" s="213">
        <v>48</v>
      </c>
    </row>
    <row r="162" spans="27:43" x14ac:dyDescent="0.25">
      <c r="AA162" s="345" t="s">
        <v>133</v>
      </c>
      <c r="AB162" s="21">
        <v>2.4325999999999999</v>
      </c>
      <c r="AC162" s="1">
        <v>-4.2900000000000001E-2</v>
      </c>
      <c r="AD162" s="21"/>
      <c r="AE162" s="262">
        <v>-2.1600000000000001E-2</v>
      </c>
      <c r="AF162" s="1"/>
      <c r="AG162" s="21"/>
      <c r="AH162" s="21"/>
      <c r="AI162" s="241"/>
      <c r="AK162" s="122" t="s">
        <v>236</v>
      </c>
      <c r="AL162" s="130">
        <v>0</v>
      </c>
      <c r="AM162" s="130"/>
      <c r="AN162" s="130">
        <v>29.580000000000002</v>
      </c>
      <c r="AO162" s="130">
        <v>44.28</v>
      </c>
      <c r="AP162" s="130"/>
      <c r="AQ162" s="216">
        <v>53</v>
      </c>
    </row>
    <row r="163" spans="27:43" x14ac:dyDescent="0.25">
      <c r="AA163" s="345" t="s">
        <v>134</v>
      </c>
      <c r="AB163" s="1">
        <v>-3.1556999999999999</v>
      </c>
      <c r="AC163" s="1">
        <v>-0.1148</v>
      </c>
      <c r="AD163" s="1">
        <v>-0.3659</v>
      </c>
      <c r="AE163" s="270">
        <v>-8.5300000000000001E-2</v>
      </c>
      <c r="AF163" s="121">
        <v>-5</v>
      </c>
      <c r="AG163" s="1">
        <v>-1.667</v>
      </c>
      <c r="AH163" s="21">
        <v>-3.6842000000000001</v>
      </c>
      <c r="AI163" s="262">
        <v>-2.1429</v>
      </c>
      <c r="AK163" s="122" t="s">
        <v>237</v>
      </c>
      <c r="AL163" s="130">
        <v>0</v>
      </c>
      <c r="AM163" s="130"/>
      <c r="AN163" s="130">
        <v>32.024999999999999</v>
      </c>
      <c r="AO163" s="130">
        <v>47.875</v>
      </c>
      <c r="AP163" s="130"/>
      <c r="AQ163" s="216">
        <v>57</v>
      </c>
    </row>
    <row r="164" spans="27:43" x14ac:dyDescent="0.25">
      <c r="AA164" s="358" t="s">
        <v>136</v>
      </c>
      <c r="AB164" s="243">
        <v>0.93689999999999996</v>
      </c>
      <c r="AC164" s="243">
        <v>0.73</v>
      </c>
      <c r="AD164" s="243">
        <v>0.47560000000000002</v>
      </c>
      <c r="AE164" s="244">
        <v>0.76680000000000004</v>
      </c>
      <c r="AF164" s="243">
        <v>1.1000000000000001</v>
      </c>
      <c r="AG164" s="243">
        <v>1.1000000000000001</v>
      </c>
      <c r="AH164" s="255">
        <v>2.0684</v>
      </c>
      <c r="AI164" s="244">
        <v>2.1356999999999999</v>
      </c>
      <c r="AK164" s="122" t="s">
        <v>238</v>
      </c>
      <c r="AL164" s="130">
        <v>0</v>
      </c>
      <c r="AM164" s="130"/>
      <c r="AN164" s="130">
        <v>34.650000000000006</v>
      </c>
      <c r="AO164" s="130">
        <v>51.9</v>
      </c>
      <c r="AP164" s="130"/>
      <c r="AQ164" s="216">
        <v>60</v>
      </c>
    </row>
    <row r="165" spans="27:43" x14ac:dyDescent="0.25">
      <c r="AA165" s="13"/>
      <c r="AB165" s="13"/>
      <c r="AC165" s="13"/>
      <c r="AD165" s="16"/>
      <c r="AE165" s="1"/>
      <c r="AG165" s="1"/>
      <c r="AK165" s="122" t="s">
        <v>239</v>
      </c>
      <c r="AL165" s="130">
        <v>0</v>
      </c>
      <c r="AM165" s="130"/>
      <c r="AN165" s="130">
        <v>37.799999999999997</v>
      </c>
      <c r="AO165" s="130">
        <v>56.6</v>
      </c>
      <c r="AP165" s="130"/>
      <c r="AQ165" s="216">
        <v>67.5</v>
      </c>
    </row>
    <row r="166" spans="27:43" x14ac:dyDescent="0.25">
      <c r="AA166" s="13"/>
      <c r="AB166" s="13"/>
      <c r="AC166" s="92"/>
      <c r="AE166" s="1"/>
      <c r="AG166" s="1"/>
      <c r="AK166" s="122" t="s">
        <v>240</v>
      </c>
      <c r="AL166" s="130">
        <v>0</v>
      </c>
      <c r="AM166" s="130"/>
      <c r="AN166" s="130">
        <v>40.200000000000003</v>
      </c>
      <c r="AO166" s="130">
        <v>60.1</v>
      </c>
      <c r="AP166" s="130"/>
      <c r="AQ166" s="216">
        <v>72</v>
      </c>
    </row>
    <row r="167" spans="27:43" ht="15.75" thickBot="1" x14ac:dyDescent="0.3">
      <c r="AK167" s="354" t="s">
        <v>5</v>
      </c>
      <c r="AL167" s="228">
        <v>0</v>
      </c>
      <c r="AM167" s="228"/>
      <c r="AN167" s="228">
        <v>0.21</v>
      </c>
      <c r="AO167" s="200">
        <v>0.48</v>
      </c>
      <c r="AP167" s="200"/>
      <c r="AQ167" s="229">
        <v>0.69</v>
      </c>
    </row>
    <row r="169" spans="27:43" x14ac:dyDescent="0.25">
      <c r="AK169" s="18"/>
      <c r="AL169" s="119" t="s">
        <v>219</v>
      </c>
      <c r="AM169" s="13"/>
    </row>
    <row r="170" spans="27:43" x14ac:dyDescent="0.25">
      <c r="AK170" s="18"/>
      <c r="AL170" s="122" t="s">
        <v>235</v>
      </c>
      <c r="AM170" s="122" t="s">
        <v>236</v>
      </c>
      <c r="AN170" s="122" t="s">
        <v>237</v>
      </c>
      <c r="AO170" s="122" t="s">
        <v>238</v>
      </c>
      <c r="AP170" s="122" t="s">
        <v>239</v>
      </c>
      <c r="AQ170" s="122" t="s">
        <v>240</v>
      </c>
    </row>
    <row r="171" spans="27:43" x14ac:dyDescent="0.25">
      <c r="AK171" s="18" t="s">
        <v>133</v>
      </c>
      <c r="AL171" s="21">
        <v>3.0899999999999998E-4</v>
      </c>
      <c r="AM171" s="17">
        <v>2.52E-4</v>
      </c>
      <c r="AN171" s="21">
        <v>2.23E-4</v>
      </c>
      <c r="AO171" s="1">
        <v>2.1800000000000001E-4</v>
      </c>
      <c r="AP171" s="1">
        <v>1.5699999999999999E-4</v>
      </c>
      <c r="AQ171" s="1">
        <v>1.37E-4</v>
      </c>
    </row>
    <row r="172" spans="27:43" x14ac:dyDescent="0.25">
      <c r="AK172" s="18" t="s">
        <v>134</v>
      </c>
      <c r="AL172" s="13">
        <v>-4.5800000000000002E-4</v>
      </c>
      <c r="AM172" s="92">
        <v>-3.5300000000000002E-4</v>
      </c>
      <c r="AN172" s="14">
        <v>-6.0499999999999996E-4</v>
      </c>
      <c r="AO172" s="14">
        <v>-1.751E-3</v>
      </c>
      <c r="AP172" s="14">
        <v>-4.1100000000000002E-4</v>
      </c>
      <c r="AQ172" s="14">
        <v>-2.5399999999999999E-4</v>
      </c>
    </row>
    <row r="173" spans="27:43" x14ac:dyDescent="0.25">
      <c r="AK173" s="345" t="s">
        <v>136</v>
      </c>
      <c r="AL173" s="14">
        <v>-3.8999999999999999E-5</v>
      </c>
      <c r="AM173" s="14">
        <v>-5.7000000000000003E-5</v>
      </c>
      <c r="AN173" s="14">
        <v>1.25E-4</v>
      </c>
      <c r="AO173" s="14">
        <v>1.1329999999999999E-3</v>
      </c>
      <c r="AP173" s="14">
        <v>8.2999999999999998E-5</v>
      </c>
      <c r="AQ173" s="14">
        <v>-1.07E-4</v>
      </c>
    </row>
    <row r="180" spans="18:33" ht="15.75" thickBot="1" x14ac:dyDescent="0.3">
      <c r="R180" s="13" t="s">
        <v>164</v>
      </c>
      <c r="S180" s="13"/>
      <c r="T180" s="13"/>
      <c r="U180" s="13"/>
      <c r="V180" s="13"/>
      <c r="W180" s="13"/>
      <c r="X180" s="13"/>
    </row>
    <row r="181" spans="18:33" x14ac:dyDescent="0.25">
      <c r="R181" s="5" t="s">
        <v>15</v>
      </c>
      <c r="S181" s="5">
        <v>0</v>
      </c>
      <c r="T181" s="5"/>
      <c r="U181" s="5">
        <v>40</v>
      </c>
      <c r="V181" s="5"/>
      <c r="W181" s="5"/>
      <c r="X181" s="6">
        <v>100</v>
      </c>
    </row>
    <row r="182" spans="18:33" ht="15.75" thickBot="1" x14ac:dyDescent="0.3">
      <c r="R182" s="354" t="s">
        <v>16</v>
      </c>
      <c r="S182" s="8">
        <v>0</v>
      </c>
      <c r="T182" s="8">
        <v>0.28999999999999998</v>
      </c>
      <c r="U182" s="9">
        <v>0.3</v>
      </c>
      <c r="V182" s="9">
        <v>0.69</v>
      </c>
      <c r="W182" s="10">
        <v>0.7</v>
      </c>
      <c r="X182" s="11">
        <v>1</v>
      </c>
    </row>
    <row r="184" spans="18:33" x14ac:dyDescent="0.25">
      <c r="R184" s="124"/>
      <c r="S184" s="166" t="s">
        <v>219</v>
      </c>
      <c r="T184" s="124"/>
      <c r="U184" s="124"/>
      <c r="V184" s="124"/>
      <c r="W184" s="124"/>
      <c r="X184" s="124"/>
    </row>
    <row r="185" spans="18:33" x14ac:dyDescent="0.25">
      <c r="R185" s="128" t="s">
        <v>133</v>
      </c>
      <c r="S185" s="124">
        <v>4.1666699999999999E-5</v>
      </c>
      <c r="T185" s="124"/>
      <c r="U185" s="124"/>
      <c r="V185" s="124"/>
      <c r="W185" s="124"/>
      <c r="X185" s="124"/>
    </row>
    <row r="186" spans="18:33" x14ac:dyDescent="0.25">
      <c r="R186" s="128" t="s">
        <v>134</v>
      </c>
      <c r="S186" s="124">
        <v>5.8332999999999996E-3</v>
      </c>
      <c r="T186" s="124"/>
      <c r="U186" s="124"/>
      <c r="V186" s="124"/>
      <c r="W186" s="124"/>
      <c r="X186" s="124"/>
    </row>
    <row r="187" spans="18:33" x14ac:dyDescent="0.25">
      <c r="R187" s="125" t="s">
        <v>136</v>
      </c>
      <c r="S187" s="124">
        <v>0</v>
      </c>
      <c r="T187" s="124"/>
      <c r="U187" s="124"/>
      <c r="V187" s="126"/>
      <c r="W187" s="124"/>
      <c r="X187" s="124"/>
    </row>
    <row r="188" spans="18:33" x14ac:dyDescent="0.25">
      <c r="R188" s="124"/>
      <c r="S188" s="124"/>
      <c r="T188" s="127"/>
      <c r="U188" s="124"/>
      <c r="V188" s="124"/>
      <c r="W188" s="124"/>
      <c r="X188" s="127"/>
    </row>
    <row r="189" spans="18:33" ht="15.75" thickBot="1" x14ac:dyDescent="0.3">
      <c r="R189" s="124"/>
      <c r="S189" s="124"/>
      <c r="T189" s="127"/>
      <c r="U189" s="124"/>
      <c r="V189" s="124"/>
      <c r="W189" s="124"/>
      <c r="X189" s="127"/>
      <c r="AA189" s="14" t="s">
        <v>310</v>
      </c>
    </row>
    <row r="190" spans="18:33" x14ac:dyDescent="0.25">
      <c r="AA190" s="266" t="s">
        <v>339</v>
      </c>
      <c r="AB190" s="266">
        <v>0.61</v>
      </c>
      <c r="AC190" s="266"/>
      <c r="AD190" s="266">
        <v>0.34</v>
      </c>
      <c r="AE190" s="266"/>
      <c r="AF190" s="266">
        <v>0.06</v>
      </c>
      <c r="AG190" s="267">
        <v>0.01</v>
      </c>
    </row>
    <row r="191" spans="18:33" x14ac:dyDescent="0.25">
      <c r="AA191" s="122" t="s">
        <v>340</v>
      </c>
      <c r="AB191" s="122">
        <v>1.1000000000000001</v>
      </c>
      <c r="AC191" s="122"/>
      <c r="AD191" s="122">
        <v>0.69</v>
      </c>
      <c r="AE191" s="122"/>
      <c r="AF191" s="122">
        <v>0.22</v>
      </c>
      <c r="AG191" s="268">
        <v>0.17</v>
      </c>
    </row>
    <row r="192" spans="18:33" ht="15.75" thickBot="1" x14ac:dyDescent="0.3">
      <c r="AA192" s="354" t="s">
        <v>5</v>
      </c>
      <c r="AB192" s="8">
        <v>0</v>
      </c>
      <c r="AC192" s="8">
        <v>0.28999999999999998</v>
      </c>
      <c r="AD192" s="9">
        <v>0.3</v>
      </c>
      <c r="AE192" s="9">
        <v>0.69</v>
      </c>
      <c r="AF192" s="10">
        <v>0.7</v>
      </c>
      <c r="AG192" s="11">
        <v>1</v>
      </c>
    </row>
    <row r="194" spans="1:43" x14ac:dyDescent="0.25">
      <c r="A194" s="1"/>
      <c r="AA194" s="272"/>
      <c r="AB194" s="271" t="s">
        <v>219</v>
      </c>
      <c r="AC194" s="272"/>
      <c r="AD194" s="566" t="s">
        <v>274</v>
      </c>
      <c r="AE194" s="567"/>
    </row>
    <row r="195" spans="1:43" x14ac:dyDescent="0.25">
      <c r="A195" s="1"/>
      <c r="AA195" s="1"/>
      <c r="AB195" s="122" t="s">
        <v>341</v>
      </c>
      <c r="AC195" s="122" t="s">
        <v>190</v>
      </c>
      <c r="AD195" s="265" t="s">
        <v>341</v>
      </c>
      <c r="AE195" s="269" t="s">
        <v>190</v>
      </c>
    </row>
    <row r="196" spans="1:43" x14ac:dyDescent="0.25">
      <c r="A196" s="1"/>
      <c r="AA196" s="345" t="s">
        <v>133</v>
      </c>
      <c r="AB196" s="21">
        <v>0.57720000000000005</v>
      </c>
      <c r="AC196" s="1">
        <v>0.1356</v>
      </c>
      <c r="AD196" s="240"/>
      <c r="AE196" s="241"/>
    </row>
    <row r="197" spans="1:43" x14ac:dyDescent="0.25">
      <c r="A197" s="1"/>
      <c r="AA197" s="345" t="s">
        <v>134</v>
      </c>
      <c r="AB197" s="1">
        <v>-1.6595</v>
      </c>
      <c r="AC197" s="1">
        <v>-0.97450000000000003</v>
      </c>
      <c r="AD197" s="263">
        <v>-6</v>
      </c>
      <c r="AE197" s="262">
        <v>-6</v>
      </c>
    </row>
    <row r="198" spans="1:43" x14ac:dyDescent="0.25">
      <c r="A198" s="1"/>
      <c r="AA198" s="358" t="s">
        <v>136</v>
      </c>
      <c r="AB198" s="243">
        <v>0.79749999999999999</v>
      </c>
      <c r="AC198" s="243">
        <v>0.90780000000000005</v>
      </c>
      <c r="AD198" s="242">
        <v>1.06</v>
      </c>
      <c r="AE198" s="244">
        <v>2.02</v>
      </c>
    </row>
    <row r="199" spans="1:43" ht="15.75" thickBot="1" x14ac:dyDescent="0.3">
      <c r="A199" s="1"/>
      <c r="AA199" s="13"/>
      <c r="AB199" s="13"/>
      <c r="AC199" s="13"/>
      <c r="AD199" s="16"/>
      <c r="AE199" s="1"/>
      <c r="AG199" s="1"/>
      <c r="AK199" s="21" t="s">
        <v>246</v>
      </c>
    </row>
    <row r="200" spans="1:43" x14ac:dyDescent="0.25">
      <c r="A200" s="1"/>
      <c r="AA200" s="13"/>
      <c r="AB200" s="13"/>
      <c r="AC200" s="92"/>
      <c r="AE200" s="1"/>
      <c r="AG200" s="1"/>
      <c r="AK200" s="266" t="s">
        <v>242</v>
      </c>
      <c r="AL200" s="117">
        <v>100</v>
      </c>
      <c r="AM200" s="5"/>
      <c r="AN200" s="117">
        <v>51.94</v>
      </c>
      <c r="AO200" s="117">
        <v>28.04</v>
      </c>
      <c r="AP200" s="5"/>
      <c r="AQ200" s="213">
        <v>14</v>
      </c>
    </row>
    <row r="201" spans="1:43" x14ac:dyDescent="0.25">
      <c r="A201" s="1"/>
      <c r="AK201" s="122" t="s">
        <v>243</v>
      </c>
      <c r="AL201" s="130">
        <v>100</v>
      </c>
      <c r="AM201" s="46"/>
      <c r="AN201" s="130">
        <v>54.029999999999994</v>
      </c>
      <c r="AO201" s="130">
        <v>31.120000000000005</v>
      </c>
      <c r="AP201" s="46"/>
      <c r="AQ201" s="216">
        <v>17.899999999999999</v>
      </c>
    </row>
    <row r="202" spans="1:43" x14ac:dyDescent="0.25">
      <c r="A202" s="1"/>
      <c r="AK202" s="122" t="s">
        <v>244</v>
      </c>
      <c r="AL202" s="130">
        <v>100</v>
      </c>
      <c r="AM202" s="46"/>
      <c r="AN202" s="130">
        <v>55.8</v>
      </c>
      <c r="AO202" s="130">
        <v>33.799999999999997</v>
      </c>
      <c r="AP202" s="46"/>
      <c r="AQ202" s="216">
        <v>21</v>
      </c>
    </row>
    <row r="203" spans="1:43" x14ac:dyDescent="0.25">
      <c r="A203" s="1"/>
      <c r="AK203" s="122" t="s">
        <v>245</v>
      </c>
      <c r="AL203" s="130">
        <v>100</v>
      </c>
      <c r="AM203" s="46"/>
      <c r="AN203" s="130">
        <v>57.25</v>
      </c>
      <c r="AO203" s="130">
        <v>36.049999999999997</v>
      </c>
      <c r="AP203" s="46"/>
      <c r="AQ203" s="216">
        <v>23.5</v>
      </c>
    </row>
    <row r="204" spans="1:43" ht="15.75" thickBot="1" x14ac:dyDescent="0.3">
      <c r="A204" s="1"/>
      <c r="AK204" s="354" t="s">
        <v>5</v>
      </c>
      <c r="AL204" s="228">
        <v>0</v>
      </c>
      <c r="AM204" s="228"/>
      <c r="AN204" s="228">
        <v>0.21</v>
      </c>
      <c r="AO204" s="200">
        <v>0.48</v>
      </c>
      <c r="AP204" s="200"/>
      <c r="AQ204" s="229">
        <v>0.69</v>
      </c>
    </row>
    <row r="205" spans="1:43" x14ac:dyDescent="0.25">
      <c r="A205" s="1"/>
    </row>
    <row r="206" spans="1:43" x14ac:dyDescent="0.25">
      <c r="A206" s="1"/>
      <c r="AK206" s="1"/>
      <c r="AL206" s="119" t="s">
        <v>219</v>
      </c>
      <c r="AM206" s="13"/>
    </row>
    <row r="207" spans="1:43" x14ac:dyDescent="0.25">
      <c r="A207" s="1"/>
      <c r="AK207" s="1"/>
      <c r="AL207" s="122" t="s">
        <v>242</v>
      </c>
      <c r="AM207" s="122" t="s">
        <v>243</v>
      </c>
      <c r="AN207" s="122" t="s">
        <v>244</v>
      </c>
      <c r="AO207" s="122" t="s">
        <v>245</v>
      </c>
    </row>
    <row r="208" spans="1:43" x14ac:dyDescent="0.25">
      <c r="A208" s="1"/>
      <c r="AK208" s="345" t="s">
        <v>133</v>
      </c>
      <c r="AL208" s="13">
        <v>9.6000000000000002E-5</v>
      </c>
      <c r="AM208" s="13">
        <v>1.06E-4</v>
      </c>
      <c r="AN208" s="14">
        <v>1.15E-4</v>
      </c>
      <c r="AO208" s="14">
        <v>1.22E-4</v>
      </c>
    </row>
    <row r="209" spans="1:41" x14ac:dyDescent="0.25">
      <c r="A209" s="1"/>
      <c r="AK209" s="345" t="s">
        <v>134</v>
      </c>
      <c r="AL209" s="13">
        <v>-1.9002000000000002E-2</v>
      </c>
      <c r="AM209" s="13">
        <v>-2.0941000000000001E-2</v>
      </c>
      <c r="AN209" s="14">
        <v>-2.2595000000000001E-2</v>
      </c>
      <c r="AO209" s="231">
        <v>-2.4039999999999999E-2</v>
      </c>
    </row>
    <row r="210" spans="1:41" x14ac:dyDescent="0.25">
      <c r="AK210" s="345" t="s">
        <v>136</v>
      </c>
      <c r="AL210" s="13">
        <v>0.93713500000000005</v>
      </c>
      <c r="AM210" s="13">
        <v>1.0299990000000001</v>
      </c>
      <c r="AN210" s="14">
        <v>1.1135470000000001</v>
      </c>
      <c r="AO210" s="14">
        <v>1.188075</v>
      </c>
    </row>
    <row r="211" spans="1:41" x14ac:dyDescent="0.25">
      <c r="AK211" s="1"/>
      <c r="AL211" s="13"/>
      <c r="AM211" s="92"/>
    </row>
    <row r="212" spans="1:41" x14ac:dyDescent="0.25">
      <c r="AK212" s="1"/>
      <c r="AL212" s="13"/>
      <c r="AM212" s="13"/>
    </row>
    <row r="214" spans="1:41" ht="15.75" thickBot="1" x14ac:dyDescent="0.3">
      <c r="R214" s="14" t="s">
        <v>426</v>
      </c>
    </row>
    <row r="215" spans="1:41" x14ac:dyDescent="0.25">
      <c r="R215" s="5" t="s">
        <v>15</v>
      </c>
      <c r="S215" s="5">
        <v>0</v>
      </c>
      <c r="T215" s="5"/>
      <c r="U215" s="20">
        <v>30</v>
      </c>
      <c r="V215" s="20"/>
      <c r="W215" s="20">
        <v>50</v>
      </c>
      <c r="X215" s="6">
        <v>200</v>
      </c>
      <c r="Y215" s="13"/>
    </row>
    <row r="216" spans="1:41" ht="15.75" thickBot="1" x14ac:dyDescent="0.3">
      <c r="R216" s="354" t="s">
        <v>16</v>
      </c>
      <c r="S216" s="8">
        <v>0</v>
      </c>
      <c r="T216" s="8">
        <v>0.28999999999999998</v>
      </c>
      <c r="U216" s="9">
        <v>0.3</v>
      </c>
      <c r="V216" s="9">
        <v>0.69</v>
      </c>
      <c r="W216" s="10">
        <v>0.7</v>
      </c>
      <c r="X216" s="11">
        <v>1</v>
      </c>
    </row>
    <row r="218" spans="1:41" x14ac:dyDescent="0.25">
      <c r="R218" s="13"/>
      <c r="S218" s="119" t="s">
        <v>219</v>
      </c>
      <c r="T218" s="119"/>
    </row>
    <row r="219" spans="1:41" x14ac:dyDescent="0.25">
      <c r="R219" s="13"/>
      <c r="S219" s="118" t="s">
        <v>138</v>
      </c>
      <c r="T219" s="118" t="s">
        <v>96</v>
      </c>
    </row>
    <row r="220" spans="1:41" x14ac:dyDescent="0.25">
      <c r="R220" s="12" t="s">
        <v>133</v>
      </c>
      <c r="S220" s="13">
        <v>2.0000000000000001E-4</v>
      </c>
      <c r="T220" s="13">
        <v>2E-3</v>
      </c>
    </row>
    <row r="221" spans="1:41" x14ac:dyDescent="0.25">
      <c r="R221" s="12" t="s">
        <v>134</v>
      </c>
      <c r="S221" s="13">
        <v>4.0000000000000001E-3</v>
      </c>
      <c r="T221" s="13">
        <v>0.6</v>
      </c>
    </row>
    <row r="222" spans="1:41" x14ac:dyDescent="0.25">
      <c r="R222" s="12" t="s">
        <v>136</v>
      </c>
      <c r="S222" s="13">
        <v>0</v>
      </c>
      <c r="T222" s="92"/>
    </row>
    <row r="223" spans="1:41" ht="15.75" thickBot="1" x14ac:dyDescent="0.3">
      <c r="R223" s="13"/>
      <c r="S223" s="13"/>
      <c r="T223" s="13"/>
      <c r="AA223" s="14" t="s">
        <v>310</v>
      </c>
    </row>
    <row r="224" spans="1:41" x14ac:dyDescent="0.25">
      <c r="AA224" s="266" t="s">
        <v>327</v>
      </c>
      <c r="AB224" s="266">
        <v>0.55000000000000004</v>
      </c>
      <c r="AC224" s="266"/>
      <c r="AD224" s="266">
        <v>0.31</v>
      </c>
      <c r="AE224" s="266"/>
      <c r="AF224" s="266">
        <v>0.01</v>
      </c>
      <c r="AG224" s="267">
        <v>0</v>
      </c>
    </row>
    <row r="225" spans="27:43" x14ac:dyDescent="0.25">
      <c r="AA225" s="122" t="s">
        <v>328</v>
      </c>
      <c r="AB225" s="122">
        <v>0.54</v>
      </c>
      <c r="AC225" s="122"/>
      <c r="AD225" s="122">
        <v>0.27</v>
      </c>
      <c r="AE225" s="122"/>
      <c r="AF225" s="122">
        <v>0.02</v>
      </c>
      <c r="AG225" s="268">
        <v>0</v>
      </c>
    </row>
    <row r="226" spans="27:43" x14ac:dyDescent="0.25">
      <c r="AA226" s="122" t="s">
        <v>313</v>
      </c>
      <c r="AB226" s="122">
        <v>0.47</v>
      </c>
      <c r="AC226" s="122"/>
      <c r="AD226" s="122">
        <v>0.27</v>
      </c>
      <c r="AE226" s="122"/>
      <c r="AF226" s="122">
        <v>0.02</v>
      </c>
      <c r="AG226" s="268">
        <v>0.01</v>
      </c>
    </row>
    <row r="227" spans="27:43" x14ac:dyDescent="0.25">
      <c r="AA227" s="122" t="s">
        <v>329</v>
      </c>
      <c r="AB227" s="122">
        <v>0.26</v>
      </c>
      <c r="AC227" s="122"/>
      <c r="AD227" s="122">
        <v>0.2</v>
      </c>
      <c r="AE227" s="122"/>
      <c r="AF227" s="122">
        <v>0.03</v>
      </c>
      <c r="AG227" s="268">
        <v>0.01</v>
      </c>
    </row>
    <row r="228" spans="27:43" ht="15.75" thickBot="1" x14ac:dyDescent="0.3">
      <c r="AA228" s="354" t="s">
        <v>5</v>
      </c>
      <c r="AB228" s="8">
        <v>0</v>
      </c>
      <c r="AC228" s="8">
        <v>0.28999999999999998</v>
      </c>
      <c r="AD228" s="9">
        <v>0.3</v>
      </c>
      <c r="AE228" s="9">
        <v>0.69</v>
      </c>
      <c r="AF228" s="10">
        <v>0.7</v>
      </c>
      <c r="AG228" s="11">
        <v>1</v>
      </c>
    </row>
    <row r="230" spans="27:43" x14ac:dyDescent="0.25">
      <c r="AA230" s="250"/>
      <c r="AB230" s="271" t="s">
        <v>219</v>
      </c>
      <c r="AC230" s="272"/>
      <c r="AD230" s="138"/>
      <c r="AE230" s="258"/>
      <c r="AF230" s="142"/>
      <c r="AG230" s="142"/>
      <c r="AH230" s="142"/>
      <c r="AI230" s="142"/>
    </row>
    <row r="231" spans="27:43" x14ac:dyDescent="0.25">
      <c r="AA231" s="240"/>
      <c r="AB231" s="122" t="s">
        <v>327</v>
      </c>
      <c r="AC231" s="21" t="s">
        <v>328</v>
      </c>
      <c r="AD231" s="1" t="s">
        <v>313</v>
      </c>
      <c r="AE231" s="269" t="s">
        <v>329</v>
      </c>
      <c r="AF231" s="122"/>
      <c r="AG231" s="122"/>
      <c r="AH231" s="122"/>
      <c r="AI231" s="122"/>
    </row>
    <row r="232" spans="27:43" x14ac:dyDescent="0.25">
      <c r="AA232" s="256" t="s">
        <v>133</v>
      </c>
      <c r="AB232" s="21">
        <v>0.15429999999999999</v>
      </c>
      <c r="AC232" s="1">
        <v>0.94020000000000004</v>
      </c>
      <c r="AD232" s="21">
        <v>0.22220000000000001</v>
      </c>
      <c r="AE232" s="262">
        <v>-11.509</v>
      </c>
      <c r="AF232" s="1"/>
      <c r="AG232" s="21"/>
      <c r="AH232" s="21"/>
      <c r="AI232" s="21"/>
    </row>
    <row r="233" spans="27:43" x14ac:dyDescent="0.25">
      <c r="AA233" s="256" t="s">
        <v>134</v>
      </c>
      <c r="AB233" s="21">
        <v>-1.3827</v>
      </c>
      <c r="AC233" s="1">
        <v>-1.8726</v>
      </c>
      <c r="AD233" s="1">
        <v>-1.6644000000000001</v>
      </c>
      <c r="AE233" s="270">
        <v>0.29409999999999997</v>
      </c>
      <c r="AF233" s="121"/>
      <c r="AG233" s="1"/>
      <c r="AH233" s="1"/>
      <c r="AI233" s="1"/>
    </row>
    <row r="234" spans="27:43" x14ac:dyDescent="0.25">
      <c r="AA234" s="257" t="s">
        <v>136</v>
      </c>
      <c r="AB234" s="243">
        <v>0.71379999999999999</v>
      </c>
      <c r="AC234" s="243">
        <v>0.73709999999999998</v>
      </c>
      <c r="AD234" s="243">
        <v>0.73319999999999996</v>
      </c>
      <c r="AE234" s="244">
        <v>0.70150000000000001</v>
      </c>
      <c r="AF234" s="1"/>
      <c r="AG234" s="1"/>
      <c r="AH234" s="21"/>
      <c r="AI234" s="1"/>
    </row>
    <row r="235" spans="27:43" x14ac:dyDescent="0.25">
      <c r="AA235" s="13"/>
      <c r="AB235" s="13"/>
      <c r="AC235" s="13"/>
      <c r="AD235" s="16"/>
      <c r="AE235" s="1"/>
      <c r="AG235" s="1"/>
    </row>
    <row r="236" spans="27:43" x14ac:dyDescent="0.25">
      <c r="AA236" s="13"/>
      <c r="AB236" s="13"/>
      <c r="AC236" s="92"/>
      <c r="AE236" s="1"/>
      <c r="AG236" s="1"/>
    </row>
    <row r="237" spans="27:43" ht="15.75" thickBot="1" x14ac:dyDescent="0.3">
      <c r="AK237" s="21" t="s">
        <v>247</v>
      </c>
    </row>
    <row r="238" spans="27:43" x14ac:dyDescent="0.25">
      <c r="AK238" s="266" t="s">
        <v>248</v>
      </c>
      <c r="AL238" s="5">
        <v>100</v>
      </c>
      <c r="AM238" s="5"/>
      <c r="AN238" s="117">
        <v>62.099999999999994</v>
      </c>
      <c r="AO238" s="117">
        <v>43.15</v>
      </c>
      <c r="AP238" s="117"/>
      <c r="AQ238" s="213">
        <v>32</v>
      </c>
    </row>
    <row r="239" spans="27:43" x14ac:dyDescent="0.25">
      <c r="AK239" s="122" t="s">
        <v>217</v>
      </c>
      <c r="AL239" s="46">
        <v>100</v>
      </c>
      <c r="AM239" s="46"/>
      <c r="AN239" s="130">
        <v>64.2</v>
      </c>
      <c r="AO239" s="130">
        <v>46.3</v>
      </c>
      <c r="AP239" s="130"/>
      <c r="AQ239" s="216">
        <v>35.200000000000003</v>
      </c>
    </row>
    <row r="240" spans="27:43" x14ac:dyDescent="0.25">
      <c r="AK240" s="122" t="s">
        <v>232</v>
      </c>
      <c r="AL240" s="46">
        <v>100</v>
      </c>
      <c r="AM240" s="46"/>
      <c r="AN240" s="130">
        <v>73.099999999999994</v>
      </c>
      <c r="AO240" s="130">
        <v>59.7</v>
      </c>
      <c r="AP240" s="130"/>
      <c r="AQ240" s="216">
        <v>51.8</v>
      </c>
    </row>
    <row r="241" spans="18:43" x14ac:dyDescent="0.25">
      <c r="AK241" s="122" t="s">
        <v>214</v>
      </c>
      <c r="AL241" s="46">
        <v>100</v>
      </c>
      <c r="AM241" s="46"/>
      <c r="AN241" s="130">
        <v>78.5</v>
      </c>
      <c r="AO241" s="130">
        <v>67.900000000000006</v>
      </c>
      <c r="AP241" s="130"/>
      <c r="AQ241" s="216">
        <v>61.6</v>
      </c>
    </row>
    <row r="242" spans="18:43" ht="15.75" thickBot="1" x14ac:dyDescent="0.3">
      <c r="AK242" s="354" t="s">
        <v>5</v>
      </c>
      <c r="AL242" s="228">
        <v>0</v>
      </c>
      <c r="AM242" s="228"/>
      <c r="AN242" s="228">
        <v>0.21</v>
      </c>
      <c r="AO242" s="200">
        <v>0.48</v>
      </c>
      <c r="AP242" s="200"/>
      <c r="AQ242" s="229">
        <v>0.69</v>
      </c>
    </row>
    <row r="244" spans="18:43" x14ac:dyDescent="0.25">
      <c r="AL244" s="119" t="s">
        <v>219</v>
      </c>
    </row>
    <row r="245" spans="18:43" x14ac:dyDescent="0.25">
      <c r="AL245" s="122" t="s">
        <v>248</v>
      </c>
      <c r="AM245" s="122" t="s">
        <v>217</v>
      </c>
      <c r="AN245" s="122" t="s">
        <v>232</v>
      </c>
      <c r="AO245" s="122" t="s">
        <v>214</v>
      </c>
    </row>
    <row r="246" spans="18:43" x14ac:dyDescent="0.25">
      <c r="AK246" s="345" t="s">
        <v>133</v>
      </c>
      <c r="AL246" s="13">
        <v>1.5300000000000001E-4</v>
      </c>
      <c r="AM246" s="13">
        <v>1.64E-4</v>
      </c>
      <c r="AN246" s="14">
        <v>3.0499999999999999E-4</v>
      </c>
      <c r="AO246" s="14">
        <v>4.8500000000000003E-4</v>
      </c>
    </row>
    <row r="247" spans="18:43" x14ac:dyDescent="0.25">
      <c r="AK247" s="345" t="s">
        <v>134</v>
      </c>
      <c r="AL247" s="13">
        <v>-3.0345E-2</v>
      </c>
      <c r="AM247" s="13">
        <v>-3.2806000000000002E-2</v>
      </c>
      <c r="AN247" s="14">
        <v>-6.0685000000000003E-2</v>
      </c>
      <c r="AO247" s="14">
        <v>-9.6292000000000003E-2</v>
      </c>
    </row>
    <row r="248" spans="18:43" ht="15.75" thickBot="1" x14ac:dyDescent="0.3">
      <c r="R248" s="14" t="s">
        <v>167</v>
      </c>
      <c r="AK248" s="345" t="s">
        <v>136</v>
      </c>
      <c r="AL248" s="232">
        <v>1.5043949999999999</v>
      </c>
      <c r="AM248" s="13">
        <v>1.644131</v>
      </c>
      <c r="AN248" s="14">
        <v>3.0140349999999998</v>
      </c>
      <c r="AO248" s="14">
        <v>4.7832189999999999</v>
      </c>
    </row>
    <row r="249" spans="18:43" x14ac:dyDescent="0.25">
      <c r="R249" s="5" t="s">
        <v>15</v>
      </c>
      <c r="S249" s="5">
        <v>0</v>
      </c>
      <c r="T249" s="5"/>
      <c r="U249" s="5"/>
      <c r="V249" s="5">
        <v>300</v>
      </c>
      <c r="W249" s="5"/>
      <c r="X249" s="6"/>
      <c r="AK249" s="1"/>
      <c r="AL249" s="13"/>
      <c r="AM249" s="92"/>
    </row>
    <row r="250" spans="18:43" ht="15.75" thickBot="1" x14ac:dyDescent="0.3">
      <c r="R250" s="354" t="s">
        <v>16</v>
      </c>
      <c r="S250" s="8">
        <v>0</v>
      </c>
      <c r="T250" s="8">
        <v>0.28999999999999998</v>
      </c>
      <c r="U250" s="9">
        <v>0.3</v>
      </c>
      <c r="V250" s="9">
        <v>0.5</v>
      </c>
      <c r="W250" s="10">
        <v>0.7</v>
      </c>
      <c r="X250" s="11">
        <v>1</v>
      </c>
      <c r="AK250" s="1"/>
      <c r="AL250" s="13"/>
      <c r="AM250" s="13"/>
    </row>
    <row r="252" spans="18:43" x14ac:dyDescent="0.25">
      <c r="R252" s="13"/>
      <c r="S252" s="119" t="s">
        <v>212</v>
      </c>
      <c r="T252" s="13"/>
    </row>
    <row r="253" spans="18:43" x14ac:dyDescent="0.25">
      <c r="R253" s="123" t="s">
        <v>133</v>
      </c>
      <c r="S253" s="13">
        <v>1.6666999999999999E-3</v>
      </c>
      <c r="T253" s="13"/>
    </row>
    <row r="254" spans="18:43" x14ac:dyDescent="0.25">
      <c r="R254" s="123" t="s">
        <v>134</v>
      </c>
      <c r="S254" s="13">
        <v>0</v>
      </c>
      <c r="T254" s="13"/>
    </row>
    <row r="255" spans="18:43" x14ac:dyDescent="0.25">
      <c r="R255" s="123"/>
      <c r="S255" s="13"/>
      <c r="T255" s="13"/>
    </row>
    <row r="256" spans="18:43" x14ac:dyDescent="0.25">
      <c r="R256" s="13"/>
      <c r="S256" s="13"/>
      <c r="T256" s="92"/>
    </row>
    <row r="257" spans="18:35" x14ac:dyDescent="0.25">
      <c r="R257" s="13"/>
      <c r="S257" s="13"/>
      <c r="T257" s="13"/>
    </row>
    <row r="259" spans="18:35" ht="15.75" thickBot="1" x14ac:dyDescent="0.3">
      <c r="AA259" s="14" t="s">
        <v>310</v>
      </c>
    </row>
    <row r="260" spans="18:35" x14ac:dyDescent="0.25">
      <c r="AA260" s="266" t="s">
        <v>330</v>
      </c>
      <c r="AB260" s="266">
        <v>0.87</v>
      </c>
      <c r="AC260" s="266"/>
      <c r="AD260" s="266">
        <v>0.52</v>
      </c>
      <c r="AE260" s="266"/>
      <c r="AF260" s="266">
        <v>0.04</v>
      </c>
      <c r="AG260" s="267">
        <v>0.01</v>
      </c>
    </row>
    <row r="261" spans="18:35" x14ac:dyDescent="0.25">
      <c r="AA261" s="122" t="s">
        <v>331</v>
      </c>
      <c r="AB261" s="122">
        <v>0.82</v>
      </c>
      <c r="AC261" s="122"/>
      <c r="AD261" s="122">
        <v>0.4</v>
      </c>
      <c r="AE261" s="122"/>
      <c r="AF261" s="122">
        <v>0.06</v>
      </c>
      <c r="AG261" s="268">
        <v>0.01</v>
      </c>
    </row>
    <row r="262" spans="18:35" x14ac:dyDescent="0.25">
      <c r="AA262" s="122" t="s">
        <v>332</v>
      </c>
      <c r="AB262" s="122">
        <v>0.33</v>
      </c>
      <c r="AC262" s="122"/>
      <c r="AD262" s="122">
        <v>0.23</v>
      </c>
      <c r="AE262" s="122"/>
      <c r="AF262" s="122">
        <v>0.09</v>
      </c>
      <c r="AG262" s="268">
        <v>0.03</v>
      </c>
    </row>
    <row r="263" spans="18:35" x14ac:dyDescent="0.25">
      <c r="AA263" s="122" t="s">
        <v>333</v>
      </c>
      <c r="AB263" s="122">
        <v>0.7</v>
      </c>
      <c r="AC263" s="122"/>
      <c r="AD263" s="122">
        <v>0.37</v>
      </c>
      <c r="AE263" s="122"/>
      <c r="AF263" s="122">
        <v>0.12</v>
      </c>
      <c r="AG263" s="268">
        <v>7.0000000000000007E-2</v>
      </c>
    </row>
    <row r="264" spans="18:35" ht="15.75" thickBot="1" x14ac:dyDescent="0.3">
      <c r="AA264" s="354" t="s">
        <v>5</v>
      </c>
      <c r="AB264" s="8">
        <v>0</v>
      </c>
      <c r="AC264" s="8">
        <v>0.28999999999999998</v>
      </c>
      <c r="AD264" s="9">
        <v>0.3</v>
      </c>
      <c r="AE264" s="9">
        <v>0.69</v>
      </c>
      <c r="AF264" s="10">
        <v>0.7</v>
      </c>
      <c r="AG264" s="11">
        <v>1</v>
      </c>
    </row>
    <row r="266" spans="18:35" x14ac:dyDescent="0.25">
      <c r="AA266" s="272"/>
      <c r="AB266" s="271" t="s">
        <v>219</v>
      </c>
      <c r="AC266" s="272"/>
      <c r="AD266" s="138"/>
      <c r="AE266" s="258"/>
      <c r="AF266" s="568" t="s">
        <v>274</v>
      </c>
      <c r="AG266" s="568"/>
      <c r="AH266" s="568"/>
      <c r="AI266" s="567"/>
    </row>
    <row r="267" spans="18:35" x14ac:dyDescent="0.25">
      <c r="AA267" s="1"/>
      <c r="AB267" s="122" t="s">
        <v>330</v>
      </c>
      <c r="AC267" s="122" t="s">
        <v>331</v>
      </c>
      <c r="AD267" s="122" t="s">
        <v>332</v>
      </c>
      <c r="AE267" s="122" t="s">
        <v>333</v>
      </c>
      <c r="AF267" s="122" t="s">
        <v>330</v>
      </c>
      <c r="AG267" s="122" t="s">
        <v>331</v>
      </c>
      <c r="AH267" s="122" t="s">
        <v>332</v>
      </c>
      <c r="AI267" s="122" t="s">
        <v>333</v>
      </c>
    </row>
    <row r="268" spans="18:35" x14ac:dyDescent="0.25">
      <c r="AA268" s="345" t="s">
        <v>133</v>
      </c>
      <c r="AB268" s="21">
        <v>-2.87E-2</v>
      </c>
      <c r="AC268" s="1">
        <v>0.60809999999999997</v>
      </c>
      <c r="AD268" s="21">
        <v>-0.59519999999999995</v>
      </c>
      <c r="AE268" s="262">
        <v>1.1912</v>
      </c>
      <c r="AF268" s="1"/>
      <c r="AG268" s="21"/>
      <c r="AH268" s="21"/>
      <c r="AI268" s="241"/>
    </row>
    <row r="269" spans="18:35" x14ac:dyDescent="0.25">
      <c r="AA269" s="345" t="s">
        <v>134</v>
      </c>
      <c r="AB269" s="1">
        <v>-0.81730000000000003</v>
      </c>
      <c r="AC269" s="1">
        <v>-1.4561999999999999</v>
      </c>
      <c r="AD269" s="1">
        <v>-2.6667000000000001</v>
      </c>
      <c r="AE269" s="270">
        <v>-2.1837</v>
      </c>
      <c r="AF269" s="121">
        <v>-10</v>
      </c>
      <c r="AG269" s="1">
        <v>-6</v>
      </c>
      <c r="AH269" s="1">
        <v>-5</v>
      </c>
      <c r="AI269" s="262">
        <v>-6</v>
      </c>
    </row>
    <row r="270" spans="18:35" x14ac:dyDescent="0.25">
      <c r="AA270" s="358" t="s">
        <v>136</v>
      </c>
      <c r="AB270" s="243">
        <v>0.73270000000000002</v>
      </c>
      <c r="AC270" s="243">
        <v>0.78520000000000001</v>
      </c>
      <c r="AD270" s="243">
        <v>0.94479999999999997</v>
      </c>
      <c r="AE270" s="244">
        <v>0.94489999999999996</v>
      </c>
      <c r="AF270" s="243">
        <v>1.1000000000000001</v>
      </c>
      <c r="AG270" s="243">
        <v>1.06</v>
      </c>
      <c r="AH270" s="255">
        <v>1.1499999999999999</v>
      </c>
      <c r="AI270" s="244">
        <v>1.42</v>
      </c>
    </row>
    <row r="271" spans="18:35" x14ac:dyDescent="0.25">
      <c r="AA271" s="13"/>
      <c r="AB271" s="13"/>
      <c r="AC271" s="13"/>
      <c r="AD271" s="16"/>
      <c r="AE271" s="1"/>
      <c r="AG271" s="1"/>
    </row>
    <row r="272" spans="18:35" x14ac:dyDescent="0.25">
      <c r="AA272" s="13"/>
      <c r="AB272" s="13"/>
      <c r="AC272" s="92"/>
      <c r="AE272" s="1"/>
      <c r="AG272" s="1"/>
    </row>
    <row r="284" spans="18:24" ht="15.75" thickBot="1" x14ac:dyDescent="0.3">
      <c r="R284" s="13" t="s">
        <v>130</v>
      </c>
      <c r="S284" s="13"/>
      <c r="T284" s="13"/>
      <c r="U284" s="13"/>
      <c r="V284" s="13"/>
      <c r="W284" s="13"/>
      <c r="X284" s="13"/>
    </row>
    <row r="285" spans="18:24" x14ac:dyDescent="0.25">
      <c r="R285" s="5" t="s">
        <v>15</v>
      </c>
      <c r="S285" s="5">
        <v>0.01</v>
      </c>
      <c r="T285" s="5">
        <v>0.05</v>
      </c>
      <c r="U285" s="5"/>
      <c r="V285" s="5">
        <v>0.1</v>
      </c>
      <c r="W285" s="5"/>
      <c r="X285" s="6">
        <v>0.11</v>
      </c>
    </row>
    <row r="286" spans="18:24" ht="15.75" thickBot="1" x14ac:dyDescent="0.3">
      <c r="R286" s="354" t="s">
        <v>16</v>
      </c>
      <c r="S286" s="8">
        <v>0</v>
      </c>
      <c r="T286" s="8">
        <v>0.28999999999999998</v>
      </c>
      <c r="U286" s="9">
        <v>0.3</v>
      </c>
      <c r="V286" s="200">
        <v>0.65200000000000002</v>
      </c>
      <c r="W286" s="10">
        <v>0.7</v>
      </c>
      <c r="X286" s="11">
        <v>1</v>
      </c>
    </row>
    <row r="288" spans="18:24" x14ac:dyDescent="0.25">
      <c r="S288" s="119" t="s">
        <v>212</v>
      </c>
    </row>
    <row r="289" spans="18:35" x14ac:dyDescent="0.25">
      <c r="R289" s="123" t="s">
        <v>133</v>
      </c>
      <c r="S289" s="13">
        <v>7.25</v>
      </c>
      <c r="T289" s="13"/>
    </row>
    <row r="290" spans="18:35" x14ac:dyDescent="0.25">
      <c r="R290" s="123" t="s">
        <v>134</v>
      </c>
      <c r="S290" s="13">
        <v>-7.2999999999999995E-2</v>
      </c>
      <c r="T290" s="13"/>
      <c r="U290" s="199"/>
    </row>
    <row r="291" spans="18:35" ht="21" x14ac:dyDescent="0.35">
      <c r="R291" s="125"/>
      <c r="S291" s="13"/>
      <c r="T291" s="13"/>
      <c r="V291" s="91"/>
      <c r="W291" s="13"/>
      <c r="X291" s="13"/>
    </row>
    <row r="292" spans="18:35" x14ac:dyDescent="0.25">
      <c r="R292" s="125"/>
      <c r="S292" s="13"/>
      <c r="T292" s="92"/>
      <c r="V292" s="13"/>
      <c r="W292" s="13"/>
      <c r="X292" s="92"/>
    </row>
    <row r="293" spans="18:35" x14ac:dyDescent="0.25">
      <c r="R293" s="13"/>
      <c r="S293" s="13"/>
      <c r="T293" s="92"/>
      <c r="V293" s="13"/>
      <c r="W293" s="13"/>
      <c r="X293" s="92"/>
    </row>
    <row r="295" spans="18:35" ht="15.75" thickBot="1" x14ac:dyDescent="0.3">
      <c r="AA295" s="14" t="s">
        <v>310</v>
      </c>
    </row>
    <row r="296" spans="18:35" x14ac:dyDescent="0.25">
      <c r="AA296" s="266" t="s">
        <v>334</v>
      </c>
      <c r="AB296" s="266">
        <v>1.8</v>
      </c>
      <c r="AC296" s="266"/>
      <c r="AD296" s="266">
        <v>1.3</v>
      </c>
      <c r="AE296" s="266"/>
      <c r="AF296" s="266">
        <v>0.2</v>
      </c>
      <c r="AG296" s="267">
        <v>0.08</v>
      </c>
    </row>
    <row r="297" spans="18:35" x14ac:dyDescent="0.25">
      <c r="AA297" s="122" t="s">
        <v>335</v>
      </c>
      <c r="AB297" s="122">
        <v>0.96</v>
      </c>
      <c r="AC297" s="122"/>
      <c r="AD297" s="122">
        <v>0.52</v>
      </c>
      <c r="AE297" s="122"/>
      <c r="AF297" s="122">
        <v>0.16</v>
      </c>
      <c r="AG297" s="268">
        <v>0.12</v>
      </c>
    </row>
    <row r="298" spans="18:35" x14ac:dyDescent="0.25">
      <c r="AA298" s="122" t="s">
        <v>336</v>
      </c>
      <c r="AB298" s="122">
        <v>0.75</v>
      </c>
      <c r="AC298" s="122"/>
      <c r="AD298" s="122">
        <v>0.51</v>
      </c>
      <c r="AE298" s="122"/>
      <c r="AF298" s="122">
        <v>0.2</v>
      </c>
      <c r="AG298" s="268">
        <v>0.13</v>
      </c>
    </row>
    <row r="299" spans="18:35" x14ac:dyDescent="0.25">
      <c r="AA299" s="122" t="s">
        <v>337</v>
      </c>
      <c r="AB299" s="122">
        <v>1.68</v>
      </c>
      <c r="AC299" s="122"/>
      <c r="AD299" s="122">
        <v>1.1599999999999999</v>
      </c>
      <c r="AE299" s="122"/>
      <c r="AF299" s="122">
        <v>0.23</v>
      </c>
      <c r="AG299" s="268">
        <v>0.08</v>
      </c>
    </row>
    <row r="300" spans="18:35" x14ac:dyDescent="0.25">
      <c r="AA300" s="122" t="s">
        <v>338</v>
      </c>
      <c r="AB300" s="122">
        <v>5.3</v>
      </c>
      <c r="AC300" s="122"/>
      <c r="AD300" s="122">
        <v>4.2</v>
      </c>
      <c r="AE300" s="122"/>
      <c r="AF300" s="122">
        <v>1.395</v>
      </c>
      <c r="AG300" s="268">
        <v>0.94</v>
      </c>
    </row>
    <row r="301" spans="18:35" ht="15.75" thickBot="1" x14ac:dyDescent="0.3">
      <c r="AA301" s="354" t="s">
        <v>5</v>
      </c>
      <c r="AB301" s="8">
        <v>0</v>
      </c>
      <c r="AC301" s="8">
        <v>0.28999999999999998</v>
      </c>
      <c r="AD301" s="9">
        <v>0.3</v>
      </c>
      <c r="AE301" s="9">
        <v>0.69</v>
      </c>
      <c r="AF301" s="10">
        <v>0.7</v>
      </c>
      <c r="AG301" s="11">
        <v>1</v>
      </c>
    </row>
    <row r="303" spans="18:35" x14ac:dyDescent="0.25">
      <c r="AA303" s="272"/>
      <c r="AB303" s="271" t="s">
        <v>219</v>
      </c>
      <c r="AC303" s="272"/>
      <c r="AD303" s="138"/>
      <c r="AE303" s="258"/>
      <c r="AF303" s="568" t="s">
        <v>274</v>
      </c>
      <c r="AG303" s="568"/>
      <c r="AH303" s="568"/>
      <c r="AI303" s="567"/>
    </row>
    <row r="304" spans="18:35" x14ac:dyDescent="0.25">
      <c r="AA304" s="1"/>
      <c r="AB304" s="122" t="s">
        <v>334</v>
      </c>
      <c r="AC304" s="122" t="s">
        <v>335</v>
      </c>
      <c r="AD304" s="122" t="s">
        <v>336</v>
      </c>
      <c r="AE304" s="122" t="s">
        <v>337</v>
      </c>
      <c r="AF304" s="122" t="s">
        <v>334</v>
      </c>
      <c r="AG304" s="122" t="s">
        <v>335</v>
      </c>
      <c r="AH304" s="122" t="s">
        <v>336</v>
      </c>
      <c r="AI304" s="122" t="s">
        <v>337</v>
      </c>
    </row>
    <row r="305" spans="18:35" x14ac:dyDescent="0.25">
      <c r="AA305" s="345" t="s">
        <v>133</v>
      </c>
      <c r="AB305" s="21">
        <v>-0.1477</v>
      </c>
      <c r="AC305" s="1">
        <v>0.53659999999999997</v>
      </c>
      <c r="AD305" s="21">
        <v>7.3300000000000004E-2</v>
      </c>
      <c r="AE305" s="262">
        <v>-0.1013</v>
      </c>
      <c r="AF305" s="1"/>
      <c r="AG305" s="21"/>
      <c r="AH305" s="21"/>
      <c r="AI305" s="241"/>
    </row>
    <row r="306" spans="18:35" x14ac:dyDescent="0.25">
      <c r="AA306" s="345" t="s">
        <v>134</v>
      </c>
      <c r="AB306" s="1">
        <v>-0.14199999999999999</v>
      </c>
      <c r="AC306" s="1">
        <v>-1.476</v>
      </c>
      <c r="AD306" s="1">
        <v>-1.3424</v>
      </c>
      <c r="AE306" s="270">
        <v>-0.28939999999999999</v>
      </c>
      <c r="AF306" s="121">
        <v>-2.5</v>
      </c>
      <c r="AG306" s="1">
        <v>-7.5</v>
      </c>
      <c r="AH306" s="1">
        <v>-4.2857000000000003</v>
      </c>
      <c r="AI306" s="262">
        <v>-2</v>
      </c>
    </row>
    <row r="307" spans="18:35" x14ac:dyDescent="0.25">
      <c r="AA307" s="358" t="s">
        <v>136</v>
      </c>
      <c r="AB307" s="243">
        <v>0.73429999999999995</v>
      </c>
      <c r="AC307" s="243">
        <v>0.9224</v>
      </c>
      <c r="AD307" s="243">
        <v>0.96550000000000002</v>
      </c>
      <c r="AE307" s="244">
        <v>0.77190000000000003</v>
      </c>
      <c r="AF307" s="243">
        <v>1.2</v>
      </c>
      <c r="AG307" s="243">
        <v>1.9</v>
      </c>
      <c r="AH307" s="255">
        <v>1.5570999999999999</v>
      </c>
      <c r="AI307" s="244">
        <v>1.1599999999999999</v>
      </c>
    </row>
    <row r="308" spans="18:35" x14ac:dyDescent="0.25">
      <c r="AA308" s="272"/>
      <c r="AB308" s="273" t="s">
        <v>338</v>
      </c>
      <c r="AC308" s="272"/>
      <c r="AD308" s="272"/>
      <c r="AE308" s="274"/>
      <c r="AF308" s="275" t="s">
        <v>338</v>
      </c>
      <c r="AG308" s="272"/>
      <c r="AH308" s="245"/>
      <c r="AI308" s="274"/>
    </row>
    <row r="309" spans="18:35" x14ac:dyDescent="0.25">
      <c r="AA309" s="345" t="s">
        <v>133</v>
      </c>
      <c r="AB309" s="1">
        <v>-3.3300000000000003E-2</v>
      </c>
      <c r="AC309" s="1"/>
      <c r="AD309" s="1"/>
      <c r="AE309" s="262"/>
      <c r="AF309" s="240"/>
      <c r="AG309" s="1"/>
      <c r="AH309" s="21"/>
      <c r="AI309" s="262"/>
    </row>
    <row r="310" spans="18:35" x14ac:dyDescent="0.25">
      <c r="AA310" s="345" t="s">
        <v>134</v>
      </c>
      <c r="AB310" s="1">
        <v>4.3799999999999999E-2</v>
      </c>
      <c r="AC310" s="1"/>
      <c r="AD310" s="1"/>
      <c r="AE310" s="262"/>
      <c r="AF310" s="240">
        <v>-0.6593</v>
      </c>
      <c r="AG310" s="1"/>
      <c r="AH310" s="21"/>
      <c r="AI310" s="262"/>
    </row>
    <row r="311" spans="18:35" x14ac:dyDescent="0.25">
      <c r="AA311" s="358" t="s">
        <v>136</v>
      </c>
      <c r="AB311" s="243">
        <v>0.70369999999999999</v>
      </c>
      <c r="AC311" s="243"/>
      <c r="AD311" s="243"/>
      <c r="AE311" s="244"/>
      <c r="AF311" s="242">
        <v>1.6197999999999999</v>
      </c>
      <c r="AG311" s="243"/>
      <c r="AH311" s="255"/>
      <c r="AI311" s="244"/>
    </row>
    <row r="312" spans="18:35" x14ac:dyDescent="0.25">
      <c r="AA312" s="13"/>
      <c r="AB312" s="13"/>
      <c r="AC312" s="13"/>
      <c r="AD312" s="16"/>
      <c r="AE312" s="1"/>
      <c r="AG312" s="1"/>
    </row>
    <row r="313" spans="18:35" x14ac:dyDescent="0.25">
      <c r="AA313" s="13"/>
      <c r="AB313" s="13"/>
      <c r="AC313" s="92"/>
      <c r="AE313" s="1"/>
      <c r="AG313" s="1"/>
    </row>
    <row r="318" spans="18:35" ht="15.75" thickBot="1" x14ac:dyDescent="0.3">
      <c r="R318" s="14" t="s">
        <v>342</v>
      </c>
    </row>
    <row r="319" spans="18:35" x14ac:dyDescent="0.25">
      <c r="R319" s="560" t="s">
        <v>15</v>
      </c>
      <c r="S319" s="97">
        <f>1/0.4333</f>
        <v>2.3078698361412417</v>
      </c>
      <c r="T319" s="5"/>
      <c r="U319" s="5">
        <v>3</v>
      </c>
      <c r="V319" s="5">
        <v>3.9</v>
      </c>
      <c r="W319" s="5"/>
      <c r="X319" s="289"/>
    </row>
    <row r="320" spans="18:35" x14ac:dyDescent="0.25">
      <c r="R320" s="561"/>
      <c r="S320" s="284">
        <f>2.8071/0.2786</f>
        <v>10.075735821966978</v>
      </c>
      <c r="T320" s="46"/>
      <c r="U320" s="46">
        <v>9</v>
      </c>
      <c r="V320" s="46">
        <v>7.6</v>
      </c>
      <c r="W320" s="46"/>
      <c r="X320" s="290"/>
    </row>
    <row r="321" spans="18:24" ht="15.75" thickBot="1" x14ac:dyDescent="0.3">
      <c r="R321" s="354" t="s">
        <v>16</v>
      </c>
      <c r="S321" s="8">
        <v>0</v>
      </c>
      <c r="T321" s="8">
        <v>0.28999999999999998</v>
      </c>
      <c r="U321" s="9">
        <v>0.3</v>
      </c>
      <c r="V321" s="9">
        <v>0.69</v>
      </c>
      <c r="W321" s="10">
        <v>0.7</v>
      </c>
      <c r="X321" s="11">
        <v>1</v>
      </c>
    </row>
    <row r="323" spans="18:24" x14ac:dyDescent="0.25">
      <c r="R323" s="13"/>
      <c r="S323" s="291" t="s">
        <v>212</v>
      </c>
      <c r="T323" s="13"/>
    </row>
    <row r="324" spans="18:24" x14ac:dyDescent="0.25">
      <c r="R324" s="13"/>
      <c r="S324" s="13" t="s">
        <v>344</v>
      </c>
      <c r="T324" s="13" t="s">
        <v>345</v>
      </c>
    </row>
    <row r="325" spans="18:24" x14ac:dyDescent="0.25">
      <c r="R325" s="12" t="s">
        <v>133</v>
      </c>
      <c r="S325" s="13">
        <v>0.43340000000000001</v>
      </c>
      <c r="T325" s="13">
        <v>-0.27860000000000001</v>
      </c>
    </row>
    <row r="326" spans="18:24" x14ac:dyDescent="0.25">
      <c r="R326" s="12" t="s">
        <v>134</v>
      </c>
      <c r="S326" s="13">
        <v>-1</v>
      </c>
      <c r="T326" s="13">
        <v>2.8071000000000002</v>
      </c>
    </row>
    <row r="327" spans="18:24" x14ac:dyDescent="0.25">
      <c r="R327" s="13"/>
      <c r="S327" s="13"/>
      <c r="T327" s="92"/>
    </row>
    <row r="328" spans="18:24" x14ac:dyDescent="0.25">
      <c r="R328" s="13"/>
      <c r="S328" s="13"/>
      <c r="T328" s="13"/>
    </row>
    <row r="337" spans="18:33" ht="15.75" thickBot="1" x14ac:dyDescent="0.3">
      <c r="AA337" s="14" t="s">
        <v>257</v>
      </c>
    </row>
    <row r="338" spans="18:33" x14ac:dyDescent="0.25">
      <c r="AA338" s="5" t="s">
        <v>259</v>
      </c>
      <c r="AB338" s="5">
        <v>5.2999999999999999E-2</v>
      </c>
      <c r="AC338" s="5"/>
      <c r="AD338" s="5">
        <v>2.1000000000000001E-2</v>
      </c>
      <c r="AE338" s="5"/>
      <c r="AF338" s="5">
        <v>2E-3</v>
      </c>
      <c r="AG338" s="6"/>
    </row>
    <row r="339" spans="18:33" x14ac:dyDescent="0.25">
      <c r="AA339" s="46" t="s">
        <v>260</v>
      </c>
      <c r="AB339" s="46">
        <v>0.05</v>
      </c>
      <c r="AC339" s="46"/>
      <c r="AD339" s="46">
        <v>2.8000000000000001E-2</v>
      </c>
      <c r="AE339" s="46"/>
      <c r="AF339" s="46">
        <v>2E-3</v>
      </c>
      <c r="AG339" s="47"/>
    </row>
    <row r="340" spans="18:33" x14ac:dyDescent="0.25">
      <c r="AA340" s="46" t="s">
        <v>261</v>
      </c>
      <c r="AB340" s="46">
        <v>7.0000000000000007E-2</v>
      </c>
      <c r="AC340" s="46"/>
      <c r="AD340" s="46">
        <v>0.03</v>
      </c>
      <c r="AE340" s="46"/>
      <c r="AF340" s="46">
        <v>2E-3</v>
      </c>
      <c r="AG340" s="47"/>
    </row>
    <row r="341" spans="18:33" x14ac:dyDescent="0.25">
      <c r="AA341" s="46" t="s">
        <v>262</v>
      </c>
      <c r="AB341" s="46">
        <v>0.13</v>
      </c>
      <c r="AC341" s="46"/>
      <c r="AD341" s="46">
        <v>4.2000000000000003E-2</v>
      </c>
      <c r="AE341" s="46"/>
      <c r="AF341" s="46">
        <v>2E-3</v>
      </c>
      <c r="AG341" s="47"/>
    </row>
    <row r="342" spans="18:33" x14ac:dyDescent="0.25">
      <c r="AA342" s="46" t="s">
        <v>263</v>
      </c>
      <c r="AB342" s="46">
        <v>0.16</v>
      </c>
      <c r="AC342" s="46"/>
      <c r="AD342" s="46">
        <v>0.06</v>
      </c>
      <c r="AE342" s="46"/>
      <c r="AF342" s="46">
        <v>2E-3</v>
      </c>
      <c r="AG342" s="47"/>
    </row>
    <row r="343" spans="18:33" ht="15.75" thickBot="1" x14ac:dyDescent="0.3">
      <c r="AA343" s="354" t="s">
        <v>5</v>
      </c>
      <c r="AB343" s="8">
        <v>0</v>
      </c>
      <c r="AC343" s="8">
        <v>0.28999999999999998</v>
      </c>
      <c r="AD343" s="9">
        <v>0.3</v>
      </c>
      <c r="AE343" s="9">
        <v>0.69</v>
      </c>
      <c r="AF343" s="10">
        <v>0.7</v>
      </c>
      <c r="AG343" s="11">
        <v>1</v>
      </c>
    </row>
    <row r="345" spans="18:33" x14ac:dyDescent="0.25">
      <c r="AA345" s="250"/>
      <c r="AB345" s="271" t="s">
        <v>219</v>
      </c>
      <c r="AC345" s="245"/>
      <c r="AD345" s="245"/>
      <c r="AE345" s="245"/>
      <c r="AF345" s="245"/>
      <c r="AG345" s="246"/>
    </row>
    <row r="346" spans="18:33" x14ac:dyDescent="0.25">
      <c r="AA346" s="240"/>
      <c r="AB346" s="46" t="s">
        <v>259</v>
      </c>
      <c r="AC346" s="46" t="s">
        <v>260</v>
      </c>
      <c r="AD346" s="46" t="s">
        <v>261</v>
      </c>
      <c r="AE346" s="122" t="s">
        <v>286</v>
      </c>
      <c r="AF346" s="122" t="s">
        <v>287</v>
      </c>
      <c r="AG346" s="365" t="s">
        <v>263</v>
      </c>
    </row>
    <row r="347" spans="18:33" x14ac:dyDescent="0.25">
      <c r="AA347" s="256" t="s">
        <v>133</v>
      </c>
      <c r="AB347" s="1">
        <v>228.97</v>
      </c>
      <c r="AC347" s="1">
        <v>36.421999999999997</v>
      </c>
      <c r="AD347" s="21">
        <v>99.79</v>
      </c>
      <c r="AE347" s="1"/>
      <c r="AF347" s="21"/>
      <c r="AG347" s="262">
        <v>24.661999999999999</v>
      </c>
    </row>
    <row r="348" spans="18:33" x14ac:dyDescent="0.25">
      <c r="AA348" s="256" t="s">
        <v>134</v>
      </c>
      <c r="AB348" s="1">
        <v>-26.318999999999999</v>
      </c>
      <c r="AC348" s="1">
        <v>-16.477</v>
      </c>
      <c r="AD348" s="21">
        <v>-17.478999999999999</v>
      </c>
      <c r="AE348" s="1">
        <v>-3.4091</v>
      </c>
      <c r="AF348" s="1">
        <v>-10</v>
      </c>
      <c r="AG348" s="270">
        <v>-8.4255999999999993</v>
      </c>
    </row>
    <row r="349" spans="18:33" x14ac:dyDescent="0.25">
      <c r="AA349" s="257" t="s">
        <v>136</v>
      </c>
      <c r="AB349" s="243">
        <v>0.75170000000000003</v>
      </c>
      <c r="AC349" s="243">
        <v>0.73280000000000001</v>
      </c>
      <c r="AD349" s="255">
        <v>0.73460000000000003</v>
      </c>
      <c r="AE349" s="243">
        <v>0.44319999999999998</v>
      </c>
      <c r="AF349" s="243">
        <v>0.72</v>
      </c>
      <c r="AG349" s="244">
        <v>0.71679999999999999</v>
      </c>
    </row>
    <row r="350" spans="18:33" x14ac:dyDescent="0.25">
      <c r="AA350" s="13"/>
      <c r="AB350" s="13"/>
      <c r="AC350" s="13"/>
      <c r="AD350" s="16"/>
      <c r="AE350" s="1"/>
      <c r="AF350" s="1"/>
      <c r="AG350" s="1"/>
    </row>
    <row r="351" spans="18:33" x14ac:dyDescent="0.25">
      <c r="AA351" s="13"/>
      <c r="AB351" s="13"/>
      <c r="AC351" s="92"/>
      <c r="AE351" s="1"/>
      <c r="AF351" s="1"/>
      <c r="AG351" s="1"/>
    </row>
    <row r="352" spans="18:33" ht="15.75" thickBot="1" x14ac:dyDescent="0.3">
      <c r="R352" s="14" t="s">
        <v>343</v>
      </c>
    </row>
    <row r="353" spans="10:24" x14ac:dyDescent="0.25">
      <c r="R353" s="5" t="s">
        <v>15</v>
      </c>
      <c r="S353" s="97">
        <f>2.7/0.4</f>
        <v>6.75</v>
      </c>
      <c r="T353" s="184"/>
      <c r="U353" s="20">
        <v>6</v>
      </c>
      <c r="V353" s="20">
        <v>5.0999999999999996</v>
      </c>
      <c r="W353" s="20"/>
      <c r="X353" s="368">
        <v>5</v>
      </c>
    </row>
    <row r="354" spans="10:24" ht="15.75" thickBot="1" x14ac:dyDescent="0.3">
      <c r="R354" s="354" t="s">
        <v>16</v>
      </c>
      <c r="S354" s="8">
        <v>0</v>
      </c>
      <c r="T354" s="8">
        <v>0.28999999999999998</v>
      </c>
      <c r="U354" s="9">
        <v>0.3</v>
      </c>
      <c r="V354" s="9">
        <v>0.69</v>
      </c>
      <c r="W354" s="10">
        <v>0.7</v>
      </c>
      <c r="X354" s="11">
        <v>1</v>
      </c>
    </row>
    <row r="356" spans="10:24" x14ac:dyDescent="0.25">
      <c r="R356" s="13"/>
      <c r="S356" s="291" t="s">
        <v>212</v>
      </c>
      <c r="T356" s="166"/>
    </row>
    <row r="357" spans="10:24" x14ac:dyDescent="0.25">
      <c r="R357" s="12" t="s">
        <v>133</v>
      </c>
      <c r="S357" s="13">
        <v>-0.41870000000000002</v>
      </c>
      <c r="T357" s="13"/>
    </row>
    <row r="358" spans="10:24" x14ac:dyDescent="0.25">
      <c r="J358" s="1"/>
      <c r="R358" s="12" t="s">
        <v>134</v>
      </c>
      <c r="S358" s="13">
        <v>2.8212000000000002</v>
      </c>
      <c r="T358" s="13"/>
      <c r="U358" s="16"/>
    </row>
    <row r="359" spans="10:24" x14ac:dyDescent="0.25">
      <c r="J359" s="1"/>
      <c r="R359" s="12"/>
      <c r="S359" s="13"/>
      <c r="T359" s="92"/>
    </row>
    <row r="360" spans="10:24" x14ac:dyDescent="0.25">
      <c r="J360" s="1"/>
    </row>
    <row r="361" spans="10:24" x14ac:dyDescent="0.25">
      <c r="J361" s="1"/>
    </row>
    <row r="362" spans="10:24" x14ac:dyDescent="0.25">
      <c r="J362" s="1"/>
    </row>
    <row r="363" spans="10:24" x14ac:dyDescent="0.25">
      <c r="J363" s="1"/>
    </row>
    <row r="364" spans="10:24" x14ac:dyDescent="0.25">
      <c r="J364" s="1"/>
    </row>
    <row r="365" spans="10:24" x14ac:dyDescent="0.25">
      <c r="J365" s="1"/>
    </row>
    <row r="366" spans="10:24" x14ac:dyDescent="0.25">
      <c r="J366" s="1"/>
    </row>
    <row r="367" spans="10:24" x14ac:dyDescent="0.25">
      <c r="J367" s="1"/>
    </row>
    <row r="368" spans="10:24" x14ac:dyDescent="0.25">
      <c r="J368" s="1"/>
    </row>
    <row r="369" spans="10:33" x14ac:dyDescent="0.25">
      <c r="J369" s="1"/>
    </row>
    <row r="370" spans="10:33" x14ac:dyDescent="0.25">
      <c r="J370" s="1"/>
    </row>
    <row r="371" spans="10:33" x14ac:dyDescent="0.25">
      <c r="J371" s="1"/>
    </row>
    <row r="372" spans="10:33" x14ac:dyDescent="0.25">
      <c r="J372" s="1"/>
    </row>
    <row r="373" spans="10:33" x14ac:dyDescent="0.25">
      <c r="J373" s="1"/>
    </row>
    <row r="376" spans="10:33" ht="15.75" thickBot="1" x14ac:dyDescent="0.3">
      <c r="AA376" s="14" t="s">
        <v>257</v>
      </c>
    </row>
    <row r="377" spans="10:33" x14ac:dyDescent="0.25">
      <c r="AA377" s="5" t="s">
        <v>264</v>
      </c>
      <c r="AB377" s="5">
        <v>3.5000000000000003E-2</v>
      </c>
      <c r="AC377" s="5"/>
      <c r="AD377" s="5">
        <v>1.4999999999999999E-2</v>
      </c>
      <c r="AE377" s="5"/>
      <c r="AF377" s="5">
        <v>3.0000000000000001E-3</v>
      </c>
      <c r="AG377" s="6">
        <v>2E-3</v>
      </c>
    </row>
    <row r="378" spans="10:33" x14ac:dyDescent="0.25">
      <c r="AA378" s="46" t="s">
        <v>265</v>
      </c>
      <c r="AB378" s="46">
        <v>3.6999999999999998E-2</v>
      </c>
      <c r="AC378" s="46"/>
      <c r="AD378" s="46">
        <v>1.6E-2</v>
      </c>
      <c r="AE378" s="46"/>
      <c r="AF378" s="46">
        <v>3.0000000000000001E-3</v>
      </c>
      <c r="AG378" s="47">
        <v>2E-3</v>
      </c>
    </row>
    <row r="379" spans="10:33" x14ac:dyDescent="0.25">
      <c r="AA379" s="46" t="s">
        <v>266</v>
      </c>
      <c r="AB379" s="46">
        <v>0.23</v>
      </c>
      <c r="AC379" s="46"/>
      <c r="AD379" s="46">
        <v>0.1</v>
      </c>
      <c r="AE379" s="46"/>
      <c r="AF379" s="46">
        <v>3.0000000000000001E-3</v>
      </c>
      <c r="AG379" s="47">
        <v>2E-3</v>
      </c>
    </row>
    <row r="380" spans="10:33" x14ac:dyDescent="0.25">
      <c r="AA380" s="46" t="s">
        <v>267</v>
      </c>
      <c r="AB380" s="46">
        <v>0.06</v>
      </c>
      <c r="AC380" s="46"/>
      <c r="AD380" s="46">
        <v>2.7E-2</v>
      </c>
      <c r="AE380" s="46"/>
      <c r="AF380" s="46">
        <v>4.0000000000000001E-3</v>
      </c>
      <c r="AG380" s="47">
        <v>2E-3</v>
      </c>
    </row>
    <row r="381" spans="10:33" x14ac:dyDescent="0.25">
      <c r="AA381" s="122" t="s">
        <v>268</v>
      </c>
      <c r="AB381" s="46">
        <v>0.11</v>
      </c>
      <c r="AC381" s="46"/>
      <c r="AD381" s="46">
        <v>7.0000000000000007E-2</v>
      </c>
      <c r="AE381" s="46"/>
      <c r="AF381" s="46">
        <v>0.01</v>
      </c>
      <c r="AG381" s="47">
        <v>2E-3</v>
      </c>
    </row>
    <row r="382" spans="10:33" x14ac:dyDescent="0.25">
      <c r="AA382" s="122" t="s">
        <v>269</v>
      </c>
      <c r="AB382" s="46">
        <v>0.49</v>
      </c>
      <c r="AC382" s="46"/>
      <c r="AD382" s="46">
        <v>0.28000000000000003</v>
      </c>
      <c r="AE382" s="46"/>
      <c r="AF382" s="46">
        <v>0.01</v>
      </c>
      <c r="AG382" s="47">
        <v>2E-3</v>
      </c>
    </row>
    <row r="383" spans="10:33" ht="15.75" thickBot="1" x14ac:dyDescent="0.3">
      <c r="AA383" s="354" t="s">
        <v>5</v>
      </c>
      <c r="AB383" s="8">
        <v>0</v>
      </c>
      <c r="AC383" s="8">
        <v>0.28999999999999998</v>
      </c>
      <c r="AD383" s="9">
        <v>0.3</v>
      </c>
      <c r="AE383" s="9">
        <v>0.69</v>
      </c>
      <c r="AF383" s="10">
        <v>0.7</v>
      </c>
      <c r="AG383" s="11">
        <v>1</v>
      </c>
    </row>
    <row r="384" spans="10:33" ht="15.75" thickBot="1" x14ac:dyDescent="0.3">
      <c r="R384" s="14" t="s">
        <v>375</v>
      </c>
    </row>
    <row r="385" spans="18:34" x14ac:dyDescent="0.25">
      <c r="R385" s="560" t="s">
        <v>15</v>
      </c>
      <c r="S385" s="184">
        <f>1/0.4333</f>
        <v>2.3078698361412417</v>
      </c>
      <c r="T385" s="20"/>
      <c r="U385" s="20">
        <v>3</v>
      </c>
      <c r="V385" s="20">
        <v>3.9</v>
      </c>
      <c r="W385" s="20"/>
      <c r="X385" s="160">
        <v>4</v>
      </c>
      <c r="AA385" s="250"/>
      <c r="AB385" s="271" t="s">
        <v>219</v>
      </c>
      <c r="AC385" s="245"/>
      <c r="AD385" s="245"/>
      <c r="AE385" s="245"/>
      <c r="AF385" s="245"/>
      <c r="AG385" s="245"/>
      <c r="AH385" s="246"/>
    </row>
    <row r="386" spans="18:34" x14ac:dyDescent="0.25">
      <c r="R386" s="561"/>
      <c r="S386" s="161">
        <f>2.25/0.2786</f>
        <v>8.0760947595118449</v>
      </c>
      <c r="T386" s="2"/>
      <c r="U386" s="2">
        <v>7</v>
      </c>
      <c r="V386" s="2">
        <v>5.6</v>
      </c>
      <c r="W386" s="2"/>
      <c r="X386" s="165">
        <v>5.5</v>
      </c>
      <c r="AA386" s="240"/>
      <c r="AB386" s="46" t="s">
        <v>264</v>
      </c>
      <c r="AC386" s="46" t="s">
        <v>265</v>
      </c>
      <c r="AD386" s="46" t="s">
        <v>266</v>
      </c>
      <c r="AE386" s="46" t="s">
        <v>267</v>
      </c>
      <c r="AF386" s="122" t="s">
        <v>268</v>
      </c>
      <c r="AG386" s="122" t="s">
        <v>269</v>
      </c>
      <c r="AH386" s="366" t="s">
        <v>270</v>
      </c>
    </row>
    <row r="387" spans="18:34" ht="15.75" thickBot="1" x14ac:dyDescent="0.3">
      <c r="R387" s="354" t="s">
        <v>16</v>
      </c>
      <c r="S387" s="8">
        <v>0</v>
      </c>
      <c r="T387" s="8">
        <v>0.28999999999999998</v>
      </c>
      <c r="U387" s="9">
        <v>0.3</v>
      </c>
      <c r="V387" s="9">
        <v>0.69</v>
      </c>
      <c r="W387" s="10">
        <v>0.7</v>
      </c>
      <c r="X387" s="11">
        <v>1</v>
      </c>
      <c r="AA387" s="256" t="s">
        <v>133</v>
      </c>
      <c r="AB387" s="1">
        <v>572.91999999999996</v>
      </c>
      <c r="AC387" s="1">
        <v>484.81</v>
      </c>
      <c r="AD387" s="21">
        <v>8.0000999999999998</v>
      </c>
      <c r="AE387" s="1">
        <v>148.22</v>
      </c>
      <c r="AF387" s="1">
        <v>-8.3330000000000002</v>
      </c>
      <c r="AG387" s="1">
        <v>0.11020000000000001</v>
      </c>
      <c r="AH387" s="241"/>
    </row>
    <row r="388" spans="18:34" x14ac:dyDescent="0.25">
      <c r="AA388" s="256" t="s">
        <v>134</v>
      </c>
      <c r="AB388" s="121">
        <v>-43.646000000000001</v>
      </c>
      <c r="AC388" s="121">
        <v>-39.981000000000002</v>
      </c>
      <c r="AD388" s="21">
        <v>-4.9477000000000002</v>
      </c>
      <c r="AE388" s="1">
        <v>-21.986000000000001</v>
      </c>
      <c r="AF388" s="121">
        <v>-6</v>
      </c>
      <c r="AG388" s="121">
        <v>-1.5134000000000001</v>
      </c>
      <c r="AH388" s="270">
        <v>-37.5</v>
      </c>
    </row>
    <row r="389" spans="18:34" x14ac:dyDescent="0.25">
      <c r="R389" s="13"/>
      <c r="S389" s="291" t="s">
        <v>212</v>
      </c>
      <c r="T389" s="13"/>
      <c r="AA389" s="257" t="s">
        <v>136</v>
      </c>
      <c r="AB389" s="243">
        <v>0.82579999999999998</v>
      </c>
      <c r="AC389" s="243">
        <v>0.81559999999999999</v>
      </c>
      <c r="AD389" s="255">
        <v>0.71479999999999999</v>
      </c>
      <c r="AE389" s="243">
        <v>0.78559999999999997</v>
      </c>
      <c r="AF389" s="243">
        <v>0.76080000000000003</v>
      </c>
      <c r="AG389" s="243">
        <v>0.71509999999999996</v>
      </c>
      <c r="AH389" s="244">
        <v>1.075</v>
      </c>
    </row>
    <row r="390" spans="18:34" x14ac:dyDescent="0.25">
      <c r="R390" s="13"/>
      <c r="S390" s="13" t="s">
        <v>344</v>
      </c>
      <c r="T390" s="13" t="s">
        <v>345</v>
      </c>
      <c r="AA390" s="13"/>
      <c r="AB390" s="13"/>
      <c r="AC390" s="13"/>
      <c r="AD390" s="16"/>
      <c r="AE390" s="1"/>
      <c r="AF390" s="1"/>
      <c r="AG390" s="1"/>
    </row>
    <row r="391" spans="18:34" x14ac:dyDescent="0.25">
      <c r="R391" s="12" t="s">
        <v>133</v>
      </c>
      <c r="S391" s="13">
        <v>0.43340000000000001</v>
      </c>
      <c r="T391" s="13">
        <v>-0.2787</v>
      </c>
      <c r="AA391" s="13"/>
      <c r="AB391" s="13"/>
      <c r="AC391" s="92"/>
      <c r="AE391" s="1"/>
      <c r="AF391" s="1"/>
      <c r="AG391" s="1"/>
    </row>
    <row r="392" spans="18:34" x14ac:dyDescent="0.25">
      <c r="R392" s="12" t="s">
        <v>134</v>
      </c>
      <c r="S392" s="13">
        <v>-1.0002</v>
      </c>
      <c r="T392" s="13">
        <v>2.2505000000000002</v>
      </c>
    </row>
    <row r="410" spans="10:27" x14ac:dyDescent="0.25">
      <c r="J410" s="1"/>
    </row>
    <row r="411" spans="10:27" x14ac:dyDescent="0.25">
      <c r="J411" s="1"/>
    </row>
    <row r="412" spans="10:27" x14ac:dyDescent="0.25">
      <c r="J412" s="1"/>
    </row>
    <row r="413" spans="10:27" x14ac:dyDescent="0.25">
      <c r="J413" s="1"/>
    </row>
    <row r="414" spans="10:27" x14ac:dyDescent="0.25">
      <c r="J414" s="1"/>
    </row>
    <row r="416" spans="10:27" ht="15.75" thickBot="1" x14ac:dyDescent="0.3">
      <c r="AA416" s="14" t="s">
        <v>257</v>
      </c>
    </row>
    <row r="417" spans="18:36" x14ac:dyDescent="0.25">
      <c r="AA417" s="5" t="s">
        <v>271</v>
      </c>
      <c r="AB417" s="5">
        <v>0.37</v>
      </c>
      <c r="AC417" s="5"/>
      <c r="AD417" s="5">
        <v>0.25</v>
      </c>
      <c r="AE417" s="5"/>
      <c r="AF417" s="5">
        <v>0.03</v>
      </c>
      <c r="AG417" s="6">
        <v>0.01</v>
      </c>
    </row>
    <row r="418" spans="18:36" ht="15.75" thickBot="1" x14ac:dyDescent="0.3">
      <c r="R418" s="14" t="s">
        <v>376</v>
      </c>
      <c r="AA418" s="46" t="s">
        <v>272</v>
      </c>
      <c r="AB418" s="46">
        <v>0.40500000000000003</v>
      </c>
      <c r="AC418" s="46"/>
      <c r="AD418" s="46">
        <v>0.251</v>
      </c>
      <c r="AE418" s="46"/>
      <c r="AF418" s="46">
        <v>4.5999999999999999E-2</v>
      </c>
      <c r="AG418" s="47">
        <v>0.01</v>
      </c>
    </row>
    <row r="419" spans="18:36" x14ac:dyDescent="0.25">
      <c r="R419" s="5" t="s">
        <v>15</v>
      </c>
      <c r="S419" s="5">
        <v>7.1</v>
      </c>
      <c r="T419" s="5"/>
      <c r="U419" s="20">
        <v>6</v>
      </c>
      <c r="V419" s="5">
        <v>4.5999999999999996</v>
      </c>
      <c r="W419" s="5"/>
      <c r="X419" s="6">
        <v>4.5</v>
      </c>
      <c r="AA419" s="46" t="s">
        <v>273</v>
      </c>
      <c r="AB419" s="46">
        <v>0.3</v>
      </c>
      <c r="AC419" s="46"/>
      <c r="AD419" s="46">
        <v>0.18</v>
      </c>
      <c r="AE419" s="46"/>
      <c r="AF419" s="46">
        <v>5.1999999999999998E-2</v>
      </c>
      <c r="AG419" s="47">
        <v>0.01</v>
      </c>
    </row>
    <row r="420" spans="18:36" ht="15.75" thickBot="1" x14ac:dyDescent="0.3">
      <c r="R420" s="354" t="s">
        <v>16</v>
      </c>
      <c r="S420" s="8">
        <v>0</v>
      </c>
      <c r="T420" s="8">
        <v>0.28999999999999998</v>
      </c>
      <c r="U420" s="9">
        <v>0.3</v>
      </c>
      <c r="V420" s="9">
        <v>0.69</v>
      </c>
      <c r="W420" s="10">
        <v>0.7</v>
      </c>
      <c r="X420" s="11">
        <v>1</v>
      </c>
      <c r="AA420" s="122" t="s">
        <v>290</v>
      </c>
      <c r="AB420" s="46">
        <v>0.19900000000000001</v>
      </c>
      <c r="AC420" s="46"/>
      <c r="AD420" s="46">
        <v>0.1</v>
      </c>
      <c r="AE420" s="46"/>
      <c r="AF420" s="46">
        <v>0.01</v>
      </c>
      <c r="AG420" s="47">
        <v>2E-3</v>
      </c>
    </row>
    <row r="421" spans="18:36" ht="15.75" thickBot="1" x14ac:dyDescent="0.3">
      <c r="AA421" s="354" t="s">
        <v>5</v>
      </c>
      <c r="AB421" s="8">
        <v>0</v>
      </c>
      <c r="AC421" s="8">
        <v>0.28999999999999998</v>
      </c>
      <c r="AD421" s="9">
        <v>0.3</v>
      </c>
      <c r="AE421" s="9">
        <v>0.69</v>
      </c>
      <c r="AF421" s="10">
        <v>0.7</v>
      </c>
      <c r="AG421" s="11">
        <v>1</v>
      </c>
    </row>
    <row r="422" spans="18:36" x14ac:dyDescent="0.25">
      <c r="S422" s="291" t="s">
        <v>212</v>
      </c>
      <c r="T422" s="116"/>
    </row>
    <row r="423" spans="18:36" x14ac:dyDescent="0.25">
      <c r="R423" s="12" t="s">
        <v>133</v>
      </c>
      <c r="S423" s="14">
        <v>-0.27610000000000001</v>
      </c>
      <c r="AA423" s="274"/>
      <c r="AB423" s="251" t="s">
        <v>219</v>
      </c>
      <c r="AC423" s="245"/>
      <c r="AD423" s="245"/>
      <c r="AE423" s="245"/>
      <c r="AF423" s="566" t="s">
        <v>274</v>
      </c>
      <c r="AG423" s="568"/>
      <c r="AH423" s="568"/>
      <c r="AI423" s="567"/>
      <c r="AJ423" s="356"/>
    </row>
    <row r="424" spans="18:36" x14ac:dyDescent="0.25">
      <c r="R424" s="12" t="s">
        <v>134</v>
      </c>
      <c r="S424" s="13">
        <v>1.9591000000000001</v>
      </c>
      <c r="T424" s="13"/>
      <c r="AA424" s="244"/>
      <c r="AB424" s="249" t="s">
        <v>271</v>
      </c>
      <c r="AC424" s="248" t="s">
        <v>272</v>
      </c>
      <c r="AD424" s="248" t="s">
        <v>273</v>
      </c>
      <c r="AE424" s="253" t="s">
        <v>290</v>
      </c>
      <c r="AF424" s="249" t="s">
        <v>271</v>
      </c>
      <c r="AG424" s="248" t="s">
        <v>272</v>
      </c>
      <c r="AH424" s="248" t="s">
        <v>273</v>
      </c>
      <c r="AI424" s="254" t="s">
        <v>290</v>
      </c>
      <c r="AJ424" s="269"/>
    </row>
    <row r="425" spans="18:36" x14ac:dyDescent="0.25">
      <c r="R425" s="12"/>
      <c r="S425" s="13"/>
      <c r="T425" s="13"/>
      <c r="U425" s="16"/>
      <c r="AA425" s="359" t="s">
        <v>133</v>
      </c>
      <c r="AB425" s="240">
        <v>-2.0053000000000001</v>
      </c>
      <c r="AC425" s="1">
        <v>8.8000000000000005E-3</v>
      </c>
      <c r="AD425" s="21">
        <v>2.5202</v>
      </c>
      <c r="AE425" s="1">
        <v>7.4821999999999997</v>
      </c>
      <c r="AF425" s="240"/>
      <c r="AG425" s="1"/>
      <c r="AH425" s="21"/>
      <c r="AI425" s="241"/>
    </row>
    <row r="426" spans="18:36" x14ac:dyDescent="0.25">
      <c r="R426" s="13"/>
      <c r="S426" s="13"/>
      <c r="T426" s="13"/>
      <c r="AA426" s="359" t="s">
        <v>134</v>
      </c>
      <c r="AB426" s="240">
        <v>-1.2566999999999999</v>
      </c>
      <c r="AC426" s="1">
        <v>-1.9538</v>
      </c>
      <c r="AD426" s="21">
        <v>-3.7097000000000002</v>
      </c>
      <c r="AE426" s="1">
        <v>-5.2675000000000001</v>
      </c>
      <c r="AF426" s="240">
        <v>-15</v>
      </c>
      <c r="AG426" s="121">
        <v>-8.3330000000000002</v>
      </c>
      <c r="AH426" s="121">
        <v>-7.1429</v>
      </c>
      <c r="AI426" s="241">
        <v>-37.5</v>
      </c>
    </row>
    <row r="427" spans="18:36" x14ac:dyDescent="0.25">
      <c r="AA427" s="360" t="s">
        <v>136</v>
      </c>
      <c r="AB427" s="242">
        <v>0.73950000000000005</v>
      </c>
      <c r="AC427" s="243">
        <v>0.78990000000000005</v>
      </c>
      <c r="AD427" s="255">
        <v>0.8861</v>
      </c>
      <c r="AE427" s="255">
        <v>0.75190000000000001</v>
      </c>
      <c r="AF427" s="242">
        <v>1.1499999999999999</v>
      </c>
      <c r="AG427" s="243">
        <v>1.0832999999999999</v>
      </c>
      <c r="AH427" s="243">
        <v>1.0713999999999999</v>
      </c>
      <c r="AI427" s="247">
        <v>1.075</v>
      </c>
    </row>
    <row r="428" spans="18:36" x14ac:dyDescent="0.25">
      <c r="AA428" s="13"/>
      <c r="AB428" s="13"/>
      <c r="AC428" s="13"/>
      <c r="AD428" s="16"/>
      <c r="AE428" s="1"/>
      <c r="AF428" s="1"/>
      <c r="AG428" s="1"/>
    </row>
    <row r="429" spans="18:36" x14ac:dyDescent="0.25">
      <c r="AA429" s="13"/>
      <c r="AB429" s="13"/>
      <c r="AC429" s="92"/>
      <c r="AE429" s="1"/>
      <c r="AF429" s="1"/>
      <c r="AG429" s="1"/>
    </row>
    <row r="435" spans="10:36" x14ac:dyDescent="0.25">
      <c r="J435" s="1"/>
      <c r="K435" s="1"/>
      <c r="L435" s="1"/>
      <c r="M435" s="1"/>
      <c r="N435" s="1"/>
      <c r="O435" s="1"/>
      <c r="P435" s="1"/>
    </row>
    <row r="436" spans="10:36" x14ac:dyDescent="0.25">
      <c r="J436" s="1"/>
      <c r="K436" s="1"/>
      <c r="L436" s="1"/>
      <c r="M436" s="1"/>
      <c r="N436" s="1"/>
      <c r="O436" s="1"/>
      <c r="P436" s="1"/>
    </row>
    <row r="437" spans="10:36" x14ac:dyDescent="0.25">
      <c r="J437" s="1"/>
      <c r="K437" s="1"/>
      <c r="L437" s="1"/>
      <c r="M437" s="1"/>
      <c r="N437" s="1"/>
      <c r="O437" s="1"/>
      <c r="P437" s="1"/>
    </row>
    <row r="438" spans="10:36" x14ac:dyDescent="0.25">
      <c r="J438" s="1"/>
      <c r="K438" s="1"/>
      <c r="L438" s="1"/>
      <c r="M438" s="1"/>
      <c r="N438" s="1"/>
      <c r="O438" s="1"/>
      <c r="P438" s="1"/>
    </row>
    <row r="439" spans="10:36" x14ac:dyDescent="0.25">
      <c r="J439" s="1"/>
      <c r="K439" s="1"/>
      <c r="L439" s="1"/>
      <c r="M439" s="1"/>
      <c r="N439" s="1"/>
      <c r="O439" s="1"/>
      <c r="P439" s="1"/>
    </row>
    <row r="440" spans="10:36" x14ac:dyDescent="0.25">
      <c r="J440" s="1"/>
      <c r="K440" s="1"/>
      <c r="L440" s="1"/>
      <c r="M440" s="1"/>
      <c r="N440" s="1"/>
      <c r="O440" s="1"/>
      <c r="P440" s="1"/>
    </row>
    <row r="441" spans="10:36" x14ac:dyDescent="0.25">
      <c r="J441" s="1"/>
      <c r="K441" s="1"/>
      <c r="L441" s="1"/>
      <c r="M441" s="1"/>
      <c r="N441" s="1"/>
      <c r="O441" s="1"/>
      <c r="P441" s="1"/>
    </row>
    <row r="442" spans="10:36" x14ac:dyDescent="0.25">
      <c r="J442" s="1"/>
      <c r="K442" s="1"/>
      <c r="L442" s="1"/>
      <c r="M442" s="1"/>
      <c r="N442" s="1"/>
      <c r="O442" s="1"/>
      <c r="P442" s="1"/>
    </row>
    <row r="443" spans="10:36" x14ac:dyDescent="0.25">
      <c r="J443" s="1"/>
      <c r="K443" s="1"/>
      <c r="L443" s="1"/>
      <c r="M443" s="1"/>
      <c r="N443" s="1"/>
      <c r="O443" s="1"/>
      <c r="P443" s="1"/>
    </row>
    <row r="444" spans="10:36" x14ac:dyDescent="0.25">
      <c r="J444" s="1"/>
      <c r="K444" s="1"/>
      <c r="L444" s="1"/>
      <c r="M444" s="1"/>
      <c r="N444" s="1"/>
      <c r="O444" s="1"/>
      <c r="P444" s="1"/>
      <c r="AI444" s="13"/>
      <c r="AJ444" s="262"/>
    </row>
    <row r="445" spans="10:36" x14ac:dyDescent="0.25">
      <c r="J445" s="1"/>
      <c r="K445" s="1"/>
      <c r="L445" s="1"/>
      <c r="M445" s="1"/>
      <c r="N445" s="1"/>
      <c r="O445" s="1"/>
      <c r="P445" s="1"/>
    </row>
    <row r="446" spans="10:36" x14ac:dyDescent="0.25">
      <c r="J446" s="1"/>
      <c r="K446" s="1"/>
      <c r="L446" s="1"/>
      <c r="M446" s="1"/>
      <c r="N446" s="1"/>
      <c r="O446" s="1"/>
      <c r="P446" s="1"/>
    </row>
    <row r="447" spans="10:36" x14ac:dyDescent="0.25">
      <c r="J447" s="1"/>
      <c r="K447" s="1"/>
      <c r="L447" s="1"/>
      <c r="M447" s="1"/>
      <c r="N447" s="1"/>
      <c r="O447" s="1"/>
      <c r="P447" s="1"/>
    </row>
    <row r="448" spans="10:36" x14ac:dyDescent="0.25">
      <c r="J448" s="1"/>
      <c r="K448" s="1"/>
      <c r="L448" s="1"/>
      <c r="M448" s="1"/>
      <c r="N448" s="1"/>
      <c r="O448" s="1"/>
      <c r="P448" s="1"/>
    </row>
    <row r="449" spans="10:38" x14ac:dyDescent="0.25">
      <c r="J449" s="1"/>
      <c r="K449" s="1"/>
      <c r="L449" s="1"/>
      <c r="M449" s="1"/>
      <c r="N449" s="1"/>
      <c r="O449" s="1"/>
      <c r="P449" s="1"/>
    </row>
    <row r="450" spans="10:38" x14ac:dyDescent="0.25">
      <c r="J450" s="1"/>
      <c r="K450" s="1"/>
      <c r="L450" s="1"/>
      <c r="M450" s="1"/>
      <c r="N450" s="1"/>
      <c r="O450" s="1"/>
      <c r="P450" s="1"/>
    </row>
    <row r="451" spans="10:38" ht="15.75" thickBot="1" x14ac:dyDescent="0.3">
      <c r="J451" s="1"/>
      <c r="K451" s="1"/>
      <c r="L451" s="1"/>
      <c r="M451" s="1"/>
      <c r="N451" s="1"/>
      <c r="O451" s="1"/>
      <c r="P451" s="1"/>
      <c r="R451" s="14" t="s">
        <v>377</v>
      </c>
    </row>
    <row r="452" spans="10:38" x14ac:dyDescent="0.25">
      <c r="J452" s="1"/>
      <c r="K452" s="1"/>
      <c r="L452" s="1"/>
      <c r="M452" s="1"/>
      <c r="N452" s="1"/>
      <c r="O452" s="1"/>
      <c r="P452" s="1"/>
      <c r="R452" s="5" t="s">
        <v>15</v>
      </c>
      <c r="S452" s="97">
        <f>1.5667/1.3333</f>
        <v>1.175054376359409</v>
      </c>
      <c r="T452" s="5"/>
      <c r="U452" s="5">
        <v>1.4</v>
      </c>
      <c r="V452" s="5"/>
      <c r="W452" s="5">
        <v>1.7</v>
      </c>
      <c r="X452" s="298">
        <v>2.8</v>
      </c>
    </row>
    <row r="453" spans="10:38" ht="15.75" thickBot="1" x14ac:dyDescent="0.3">
      <c r="J453" s="1"/>
      <c r="K453" s="1"/>
      <c r="L453" s="1"/>
      <c r="M453" s="1"/>
      <c r="N453" s="1"/>
      <c r="O453" s="1"/>
      <c r="P453" s="1"/>
      <c r="R453" s="354" t="s">
        <v>16</v>
      </c>
      <c r="S453" s="8">
        <v>0</v>
      </c>
      <c r="T453" s="8">
        <v>0.28999999999999998</v>
      </c>
      <c r="U453" s="9">
        <v>0.3</v>
      </c>
      <c r="V453" s="9">
        <v>0.69</v>
      </c>
      <c r="W453" s="10">
        <v>0.7</v>
      </c>
      <c r="X453" s="11">
        <v>1</v>
      </c>
    </row>
    <row r="454" spans="10:38" ht="15.75" thickBot="1" x14ac:dyDescent="0.3">
      <c r="J454" s="1"/>
      <c r="K454" s="1"/>
      <c r="L454" s="1"/>
      <c r="M454" s="1"/>
      <c r="N454" s="1"/>
      <c r="O454" s="1"/>
      <c r="P454" s="1"/>
      <c r="AA454" s="14" t="s">
        <v>257</v>
      </c>
    </row>
    <row r="455" spans="10:38" x14ac:dyDescent="0.25">
      <c r="J455" s="1"/>
      <c r="K455" s="1"/>
      <c r="L455" s="1"/>
      <c r="M455" s="1"/>
      <c r="N455" s="1"/>
      <c r="O455" s="1"/>
      <c r="P455" s="1"/>
      <c r="S455" s="116" t="s">
        <v>212</v>
      </c>
      <c r="T455" s="116"/>
      <c r="AA455" s="266" t="s">
        <v>288</v>
      </c>
      <c r="AB455" s="5">
        <v>0.05</v>
      </c>
      <c r="AC455" s="5"/>
      <c r="AD455" s="5">
        <v>2.5999999999999999E-2</v>
      </c>
      <c r="AE455" s="5"/>
      <c r="AF455" s="5">
        <v>5.0000000000000001E-3</v>
      </c>
      <c r="AG455" s="6">
        <v>2E-3</v>
      </c>
    </row>
    <row r="456" spans="10:38" x14ac:dyDescent="0.25">
      <c r="J456" s="1"/>
      <c r="K456" s="1"/>
      <c r="L456" s="1"/>
      <c r="M456" s="1"/>
      <c r="N456" s="1"/>
      <c r="O456" s="1"/>
      <c r="P456" s="1"/>
      <c r="S456" s="151" t="s">
        <v>138</v>
      </c>
      <c r="T456" s="151" t="s">
        <v>274</v>
      </c>
      <c r="AA456" s="122" t="s">
        <v>289</v>
      </c>
      <c r="AB456" s="46">
        <v>0.1</v>
      </c>
      <c r="AC456" s="46"/>
      <c r="AD456" s="46">
        <v>0.05</v>
      </c>
      <c r="AE456" s="46"/>
      <c r="AF456" s="46">
        <v>6.0000000000000001E-3</v>
      </c>
      <c r="AG456" s="47">
        <v>2E-3</v>
      </c>
    </row>
    <row r="457" spans="10:38" x14ac:dyDescent="0.25">
      <c r="J457" s="1"/>
      <c r="K457" s="1"/>
      <c r="L457" s="1"/>
      <c r="M457" s="1"/>
      <c r="N457" s="1"/>
      <c r="O457" s="1"/>
      <c r="P457" s="1"/>
      <c r="R457" s="123" t="s">
        <v>133</v>
      </c>
      <c r="S457" s="13">
        <v>1.333</v>
      </c>
      <c r="T457" s="13">
        <v>0.2727</v>
      </c>
      <c r="AA457" s="122" t="s">
        <v>294</v>
      </c>
      <c r="AB457" s="46">
        <v>0.13</v>
      </c>
      <c r="AC457" s="46"/>
      <c r="AD457" s="46">
        <v>7.0000000000000007E-2</v>
      </c>
      <c r="AE457" s="46"/>
      <c r="AF457" s="46">
        <v>8.0000000000000002E-3</v>
      </c>
      <c r="AG457" s="47">
        <v>3.0000000000000001E-3</v>
      </c>
    </row>
    <row r="458" spans="10:38" x14ac:dyDescent="0.25">
      <c r="J458" s="1"/>
      <c r="K458" s="1"/>
      <c r="L458" s="1"/>
      <c r="M458" s="1"/>
      <c r="N458" s="1"/>
      <c r="O458" s="1"/>
      <c r="P458" s="1"/>
      <c r="R458" s="123" t="s">
        <v>134</v>
      </c>
      <c r="S458" s="13">
        <v>-1.5669</v>
      </c>
      <c r="T458" s="13">
        <v>0.2364</v>
      </c>
      <c r="AA458" s="122" t="s">
        <v>295</v>
      </c>
      <c r="AB458" s="46">
        <v>4.2999999999999997E-2</v>
      </c>
      <c r="AC458" s="46"/>
      <c r="AD458" s="46">
        <v>2.5999999999999999E-2</v>
      </c>
      <c r="AE458" s="46"/>
      <c r="AF458" s="46">
        <v>5.0000000000000001E-3</v>
      </c>
      <c r="AG458" s="47">
        <v>4.0000000000000001E-3</v>
      </c>
    </row>
    <row r="459" spans="10:38" ht="15.75" thickBot="1" x14ac:dyDescent="0.3">
      <c r="J459" s="1"/>
      <c r="K459" s="1"/>
      <c r="L459" s="1"/>
      <c r="M459" s="1"/>
      <c r="N459" s="1"/>
      <c r="O459" s="1"/>
      <c r="P459" s="1"/>
      <c r="R459" s="13"/>
      <c r="S459" s="13"/>
      <c r="T459" s="13"/>
      <c r="AA459" s="354" t="s">
        <v>5</v>
      </c>
      <c r="AB459" s="8">
        <v>0</v>
      </c>
      <c r="AC459" s="8">
        <v>0.28999999999999998</v>
      </c>
      <c r="AD459" s="9">
        <v>0.3</v>
      </c>
      <c r="AE459" s="9">
        <v>0.69</v>
      </c>
      <c r="AF459" s="10">
        <v>0.7</v>
      </c>
      <c r="AG459" s="11">
        <v>1</v>
      </c>
    </row>
    <row r="460" spans="10:38" x14ac:dyDescent="0.25">
      <c r="J460" s="1"/>
      <c r="K460" s="1"/>
      <c r="L460" s="1"/>
      <c r="M460" s="1"/>
      <c r="N460" s="1"/>
      <c r="O460" s="1"/>
      <c r="P460" s="1"/>
      <c r="R460" s="13"/>
      <c r="S460" s="13"/>
      <c r="T460" s="92"/>
    </row>
    <row r="461" spans="10:38" x14ac:dyDescent="0.25">
      <c r="J461" s="1"/>
      <c r="K461" s="1"/>
      <c r="L461" s="1"/>
      <c r="M461" s="1"/>
      <c r="N461" s="1"/>
      <c r="O461" s="1"/>
      <c r="P461" s="1"/>
      <c r="R461" s="13"/>
      <c r="S461" s="13"/>
      <c r="T461" s="13"/>
      <c r="AA461" s="272"/>
      <c r="AB461" s="251" t="s">
        <v>219</v>
      </c>
      <c r="AC461" s="245"/>
      <c r="AD461" s="245"/>
      <c r="AE461" s="246"/>
      <c r="AF461" s="566" t="s">
        <v>274</v>
      </c>
      <c r="AG461" s="568"/>
      <c r="AH461" s="568"/>
      <c r="AI461" s="259"/>
    </row>
    <row r="462" spans="10:38" x14ac:dyDescent="0.25">
      <c r="J462" s="1"/>
      <c r="K462" s="1"/>
      <c r="L462" s="1"/>
      <c r="M462" s="1"/>
      <c r="N462" s="1"/>
      <c r="O462" s="1"/>
      <c r="P462" s="1"/>
      <c r="AA462" s="243"/>
      <c r="AB462" s="252" t="s">
        <v>288</v>
      </c>
      <c r="AC462" s="253" t="s">
        <v>289</v>
      </c>
      <c r="AD462" s="253" t="s">
        <v>290</v>
      </c>
      <c r="AE462" s="254" t="s">
        <v>295</v>
      </c>
      <c r="AF462" s="252" t="s">
        <v>288</v>
      </c>
      <c r="AG462" s="253" t="s">
        <v>289</v>
      </c>
      <c r="AH462" s="253" t="s">
        <v>290</v>
      </c>
      <c r="AI462" s="260"/>
    </row>
    <row r="463" spans="10:38" x14ac:dyDescent="0.25">
      <c r="J463" s="1"/>
      <c r="K463" s="1"/>
      <c r="L463" s="1"/>
      <c r="M463" s="1"/>
      <c r="N463" s="1"/>
      <c r="O463" s="1"/>
      <c r="P463" s="1"/>
      <c r="AA463" s="359" t="s">
        <v>133</v>
      </c>
      <c r="AB463" s="240">
        <v>145.5</v>
      </c>
      <c r="AC463" s="1">
        <v>32.881999999999998</v>
      </c>
      <c r="AD463" s="21">
        <v>11.898</v>
      </c>
      <c r="AE463" s="241">
        <v>36.856999999999999</v>
      </c>
      <c r="AF463" s="240"/>
      <c r="AG463" s="1"/>
      <c r="AH463" s="21"/>
      <c r="AI463" s="260"/>
    </row>
    <row r="464" spans="10:38" x14ac:dyDescent="0.25">
      <c r="J464" s="1"/>
      <c r="K464" s="1"/>
      <c r="L464" s="1"/>
      <c r="M464" s="1"/>
      <c r="N464" s="1"/>
      <c r="O464" s="1"/>
      <c r="P464" s="1"/>
      <c r="AA464" s="359" t="s">
        <v>134</v>
      </c>
      <c r="AB464" s="240">
        <v>-23.558</v>
      </c>
      <c r="AC464" s="1">
        <v>-10.932</v>
      </c>
      <c r="AD464" s="21">
        <v>-7.3796999999999997</v>
      </c>
      <c r="AE464" s="241">
        <v>-20.190000000000001</v>
      </c>
      <c r="AF464" s="240">
        <v>-100</v>
      </c>
      <c r="AG464" s="121">
        <v>-75</v>
      </c>
      <c r="AH464" s="121">
        <v>-60</v>
      </c>
      <c r="AI464" s="260"/>
      <c r="AK464" s="46"/>
      <c r="AL464" s="21"/>
    </row>
    <row r="465" spans="10:38" x14ac:dyDescent="0.25">
      <c r="J465" s="1"/>
      <c r="K465" s="1"/>
      <c r="L465" s="1"/>
      <c r="M465" s="1"/>
      <c r="N465" s="1"/>
      <c r="O465" s="1"/>
      <c r="P465" s="1"/>
      <c r="AA465" s="360" t="s">
        <v>136</v>
      </c>
      <c r="AB465" s="242">
        <v>0.81420000000000003</v>
      </c>
      <c r="AC465" s="243">
        <v>0.76439999999999997</v>
      </c>
      <c r="AD465" s="255">
        <v>0.75829999999999997</v>
      </c>
      <c r="AE465" s="247">
        <v>0.8</v>
      </c>
      <c r="AF465" s="242">
        <v>1.2</v>
      </c>
      <c r="AG465" s="243">
        <v>1.1499999999999999</v>
      </c>
      <c r="AH465" s="243">
        <v>1.18</v>
      </c>
      <c r="AI465" s="260"/>
      <c r="AL465" s="21"/>
    </row>
    <row r="466" spans="10:38" x14ac:dyDescent="0.25">
      <c r="J466" s="1"/>
      <c r="K466" s="1"/>
      <c r="L466" s="1"/>
      <c r="M466" s="1"/>
      <c r="N466" s="1"/>
      <c r="O466" s="1"/>
      <c r="P466" s="1"/>
      <c r="AA466" s="13"/>
      <c r="AB466" s="13"/>
      <c r="AC466" s="13"/>
      <c r="AD466" s="16"/>
      <c r="AE466" s="1"/>
      <c r="AF466" s="1"/>
      <c r="AG466" s="1"/>
      <c r="AL466" s="21"/>
    </row>
    <row r="467" spans="10:38" x14ac:dyDescent="0.25">
      <c r="J467" s="1"/>
      <c r="K467" s="1"/>
      <c r="L467" s="1"/>
      <c r="M467" s="1"/>
      <c r="N467" s="1"/>
      <c r="O467" s="1"/>
      <c r="P467" s="1"/>
      <c r="R467" s="1"/>
      <c r="AA467" s="13"/>
      <c r="AB467" s="13"/>
      <c r="AC467" s="92"/>
      <c r="AE467" s="1"/>
      <c r="AF467" s="1"/>
      <c r="AG467" s="1"/>
      <c r="AL467" s="21"/>
    </row>
    <row r="468" spans="10:38" x14ac:dyDescent="0.25">
      <c r="J468" s="1"/>
      <c r="K468" s="1"/>
      <c r="L468" s="1"/>
      <c r="M468" s="1"/>
      <c r="N468" s="1"/>
      <c r="O468" s="1"/>
      <c r="P468" s="1"/>
      <c r="R468" s="2"/>
    </row>
    <row r="469" spans="10:38" x14ac:dyDescent="0.25">
      <c r="K469" s="1"/>
      <c r="L469" s="1"/>
      <c r="M469" s="1"/>
      <c r="N469" s="1"/>
      <c r="O469" s="1"/>
      <c r="P469" s="1"/>
      <c r="R469" s="2"/>
    </row>
    <row r="470" spans="10:38" x14ac:dyDescent="0.25">
      <c r="K470" s="1"/>
      <c r="L470" s="1"/>
      <c r="M470" s="1"/>
      <c r="N470" s="1"/>
      <c r="O470" s="1"/>
      <c r="P470" s="1"/>
      <c r="R470" s="1"/>
    </row>
    <row r="471" spans="10:38" x14ac:dyDescent="0.25">
      <c r="K471" s="1"/>
      <c r="L471" s="1"/>
      <c r="M471" s="1"/>
      <c r="N471" s="1"/>
      <c r="O471" s="1"/>
      <c r="P471" s="1"/>
      <c r="R471" s="2"/>
    </row>
    <row r="472" spans="10:38" x14ac:dyDescent="0.25">
      <c r="K472" s="1"/>
      <c r="L472" s="1"/>
      <c r="M472" s="1"/>
      <c r="N472" s="1"/>
      <c r="O472" s="1"/>
      <c r="P472" s="1"/>
      <c r="R472" s="2"/>
    </row>
    <row r="473" spans="10:38" x14ac:dyDescent="0.25">
      <c r="K473" s="1"/>
      <c r="L473" s="1"/>
      <c r="M473" s="1"/>
      <c r="N473" s="1"/>
      <c r="O473" s="1"/>
      <c r="P473" s="1"/>
      <c r="R473" s="1"/>
    </row>
    <row r="474" spans="10:38" x14ac:dyDescent="0.25">
      <c r="K474" s="1"/>
      <c r="L474" s="1"/>
      <c r="M474" s="1"/>
      <c r="N474" s="1"/>
      <c r="O474" s="1"/>
      <c r="P474" s="1"/>
      <c r="R474" s="1"/>
    </row>
    <row r="475" spans="10:38" x14ac:dyDescent="0.25">
      <c r="K475" s="1"/>
      <c r="L475" s="1"/>
      <c r="M475" s="1"/>
      <c r="N475" s="1"/>
      <c r="O475" s="1"/>
      <c r="P475" s="1"/>
      <c r="R475" s="1"/>
    </row>
    <row r="476" spans="10:38" x14ac:dyDescent="0.25">
      <c r="K476" s="1"/>
      <c r="L476" s="1"/>
      <c r="M476" s="1"/>
      <c r="N476" s="1"/>
      <c r="O476" s="1"/>
      <c r="P476" s="1"/>
      <c r="R476" s="1"/>
    </row>
    <row r="477" spans="10:38" x14ac:dyDescent="0.25">
      <c r="K477" s="1"/>
      <c r="L477" s="1"/>
      <c r="M477" s="1"/>
      <c r="N477" s="1"/>
      <c r="O477" s="1"/>
      <c r="P477" s="1"/>
      <c r="R477" s="1"/>
    </row>
    <row r="478" spans="10:38" x14ac:dyDescent="0.25">
      <c r="K478" s="1"/>
      <c r="L478" s="1"/>
      <c r="M478" s="1"/>
      <c r="N478" s="1"/>
      <c r="O478" s="1"/>
      <c r="P478" s="1"/>
      <c r="R478" s="1"/>
    </row>
    <row r="479" spans="10:38" x14ac:dyDescent="0.25">
      <c r="K479" s="1"/>
      <c r="L479" s="1"/>
      <c r="M479" s="1"/>
      <c r="N479" s="1"/>
      <c r="O479" s="1"/>
      <c r="P479" s="1"/>
      <c r="R479" s="2"/>
    </row>
    <row r="480" spans="10:38" x14ac:dyDescent="0.25">
      <c r="K480" s="1"/>
      <c r="L480" s="1"/>
      <c r="M480" s="1"/>
      <c r="N480" s="1"/>
      <c r="O480" s="1"/>
      <c r="P480" s="1"/>
      <c r="R480" s="2"/>
    </row>
    <row r="481" spans="11:33" x14ac:dyDescent="0.25">
      <c r="K481" s="1"/>
      <c r="L481" s="1"/>
      <c r="M481" s="1"/>
      <c r="N481" s="1"/>
      <c r="O481" s="1"/>
      <c r="P481" s="1"/>
      <c r="R481" s="1"/>
      <c r="S481" s="1"/>
      <c r="T481" s="1"/>
      <c r="U481" s="1"/>
      <c r="V481" s="1"/>
      <c r="W481" s="1"/>
      <c r="X481" s="1"/>
      <c r="Y481" s="1"/>
    </row>
    <row r="482" spans="11:33" x14ac:dyDescent="0.25">
      <c r="R482" s="2"/>
      <c r="S482" s="2"/>
      <c r="T482" s="2"/>
      <c r="U482" s="2"/>
      <c r="V482" s="2"/>
      <c r="W482" s="2"/>
      <c r="X482" s="2"/>
      <c r="Y482" s="2"/>
    </row>
    <row r="483" spans="11:33" x14ac:dyDescent="0.25">
      <c r="R483" s="2"/>
    </row>
    <row r="484" spans="11:33" ht="15.75" thickBot="1" x14ac:dyDescent="0.3">
      <c r="R484" s="14" t="s">
        <v>378</v>
      </c>
    </row>
    <row r="485" spans="11:33" x14ac:dyDescent="0.25">
      <c r="R485" s="5" t="s">
        <v>15</v>
      </c>
      <c r="S485" s="149">
        <v>1.21</v>
      </c>
      <c r="T485" s="5"/>
      <c r="U485" s="5">
        <v>1.5</v>
      </c>
      <c r="V485" s="5"/>
      <c r="W485" s="5">
        <v>2</v>
      </c>
      <c r="X485" s="150">
        <v>2.8</v>
      </c>
    </row>
    <row r="486" spans="11:33" ht="15.75" thickBot="1" x14ac:dyDescent="0.3">
      <c r="R486" s="354" t="s">
        <v>16</v>
      </c>
      <c r="S486" s="8">
        <v>0</v>
      </c>
      <c r="T486" s="8">
        <v>0.28999999999999998</v>
      </c>
      <c r="U486" s="9">
        <v>0.3</v>
      </c>
      <c r="V486" s="9">
        <v>0.69</v>
      </c>
      <c r="W486" s="10">
        <v>0.7</v>
      </c>
      <c r="X486" s="11">
        <v>1</v>
      </c>
    </row>
    <row r="488" spans="11:33" x14ac:dyDescent="0.25">
      <c r="S488" s="291" t="s">
        <v>219</v>
      </c>
    </row>
    <row r="489" spans="11:33" x14ac:dyDescent="0.25">
      <c r="R489" s="123" t="s">
        <v>133</v>
      </c>
      <c r="S489" s="13">
        <v>-0.3201</v>
      </c>
      <c r="T489" s="13"/>
    </row>
    <row r="490" spans="11:33" x14ac:dyDescent="0.25">
      <c r="R490" s="123" t="s">
        <v>134</v>
      </c>
      <c r="S490" s="13">
        <v>1.9133</v>
      </c>
      <c r="T490" s="13"/>
    </row>
    <row r="491" spans="11:33" x14ac:dyDescent="0.25">
      <c r="R491" s="153" t="s">
        <v>136</v>
      </c>
      <c r="S491" s="13">
        <v>-1.8475999999999999</v>
      </c>
      <c r="T491" s="13"/>
    </row>
    <row r="492" spans="11:33" ht="15.75" thickBot="1" x14ac:dyDescent="0.3">
      <c r="R492" s="13"/>
      <c r="S492" s="13"/>
      <c r="T492" s="92"/>
      <c r="AA492" s="14" t="s">
        <v>257</v>
      </c>
    </row>
    <row r="493" spans="11:33" x14ac:dyDescent="0.25">
      <c r="R493" s="13"/>
      <c r="S493" s="13"/>
      <c r="T493" s="13"/>
      <c r="AA493" s="266" t="s">
        <v>291</v>
      </c>
      <c r="AB493" s="5">
        <v>3.4000000000000002E-2</v>
      </c>
      <c r="AC493" s="5"/>
      <c r="AD493" s="5">
        <v>2.1000000000000001E-2</v>
      </c>
      <c r="AE493" s="5"/>
      <c r="AF493" s="5">
        <v>6.0000000000000001E-3</v>
      </c>
      <c r="AG493" s="6">
        <v>3.0000000000000001E-3</v>
      </c>
    </row>
    <row r="494" spans="11:33" x14ac:dyDescent="0.25">
      <c r="AA494" s="122" t="s">
        <v>292</v>
      </c>
      <c r="AB494" s="46">
        <v>0.20200000000000001</v>
      </c>
      <c r="AC494" s="46"/>
      <c r="AD494" s="46">
        <v>0.04</v>
      </c>
      <c r="AE494" s="46"/>
      <c r="AF494" s="46">
        <v>6.0000000000000001E-3</v>
      </c>
      <c r="AG494" s="47">
        <v>3.0000000000000001E-3</v>
      </c>
    </row>
    <row r="495" spans="11:33" x14ac:dyDescent="0.25">
      <c r="AA495" s="122" t="s">
        <v>293</v>
      </c>
      <c r="AB495" s="46">
        <v>0.63100000000000001</v>
      </c>
      <c r="AC495" s="46"/>
      <c r="AD495" s="46">
        <v>0.17</v>
      </c>
      <c r="AE495" s="46"/>
      <c r="AF495" s="46">
        <v>6.0000000000000001E-3</v>
      </c>
      <c r="AG495" s="47">
        <v>3.0000000000000001E-3</v>
      </c>
    </row>
    <row r="496" spans="11:33" ht="15.75" thickBot="1" x14ac:dyDescent="0.3">
      <c r="AA496" s="354" t="s">
        <v>5</v>
      </c>
      <c r="AB496" s="8">
        <v>0</v>
      </c>
      <c r="AC496" s="8">
        <v>0.28999999999999998</v>
      </c>
      <c r="AD496" s="9">
        <v>0.3</v>
      </c>
      <c r="AE496" s="9">
        <v>0.69</v>
      </c>
      <c r="AF496" s="10">
        <v>0.7</v>
      </c>
      <c r="AG496" s="11">
        <v>1</v>
      </c>
    </row>
    <row r="498" spans="18:36" x14ac:dyDescent="0.25">
      <c r="AA498" s="271" t="s">
        <v>212</v>
      </c>
      <c r="AB498" s="245"/>
      <c r="AC498" s="566" t="s">
        <v>135</v>
      </c>
      <c r="AD498" s="567"/>
      <c r="AE498" s="566" t="s">
        <v>250</v>
      </c>
      <c r="AF498" s="567"/>
      <c r="AG498" s="258" t="s">
        <v>274</v>
      </c>
      <c r="AH498" s="142"/>
      <c r="AI498" s="142"/>
      <c r="AJ498" s="356"/>
    </row>
    <row r="499" spans="18:36" x14ac:dyDescent="0.25">
      <c r="R499" s="1"/>
      <c r="AA499" s="243"/>
      <c r="AB499" s="253" t="s">
        <v>291</v>
      </c>
      <c r="AC499" s="252" t="s">
        <v>292</v>
      </c>
      <c r="AD499" s="254" t="s">
        <v>293</v>
      </c>
      <c r="AE499" s="252" t="s">
        <v>292</v>
      </c>
      <c r="AF499" s="254" t="s">
        <v>293</v>
      </c>
      <c r="AG499" s="254" t="s">
        <v>296</v>
      </c>
      <c r="AH499" s="122"/>
      <c r="AI499" s="122"/>
      <c r="AJ499" s="269"/>
    </row>
    <row r="500" spans="18:36" x14ac:dyDescent="0.25">
      <c r="AA500" s="345" t="s">
        <v>133</v>
      </c>
      <c r="AB500" s="1">
        <v>-25.042000000000002</v>
      </c>
      <c r="AC500" s="240">
        <v>-1.8519000000000001</v>
      </c>
      <c r="AD500" s="241">
        <v>-0.65080000000000005</v>
      </c>
      <c r="AE500" s="260">
        <v>-11.765000000000001</v>
      </c>
      <c r="AF500" s="241">
        <v>-2.4390000000000001</v>
      </c>
      <c r="AG500" s="262">
        <v>-100</v>
      </c>
      <c r="AH500" s="1"/>
      <c r="AI500" s="21"/>
    </row>
    <row r="501" spans="18:36" x14ac:dyDescent="0.25">
      <c r="AA501" s="358" t="s">
        <v>134</v>
      </c>
      <c r="AB501" s="243">
        <v>0.84250000000000003</v>
      </c>
      <c r="AC501" s="242">
        <v>0.37409999999999999</v>
      </c>
      <c r="AD501" s="247">
        <v>0.41060000000000002</v>
      </c>
      <c r="AE501" s="261">
        <v>0.77059999999999995</v>
      </c>
      <c r="AF501" s="247">
        <v>0.71460000000000001</v>
      </c>
      <c r="AG501" s="244">
        <v>1.3</v>
      </c>
      <c r="AH501" s="121"/>
      <c r="AI501" s="121"/>
      <c r="AJ501" s="270"/>
    </row>
    <row r="502" spans="18:36" x14ac:dyDescent="0.25">
      <c r="AA502" s="13"/>
      <c r="AB502" s="13"/>
      <c r="AC502" s="13"/>
      <c r="AD502" s="16"/>
      <c r="AE502" s="1"/>
      <c r="AF502" s="1"/>
      <c r="AG502" s="1"/>
    </row>
    <row r="503" spans="18:36" x14ac:dyDescent="0.25">
      <c r="AA503" s="13"/>
      <c r="AB503" s="13"/>
      <c r="AC503" s="92"/>
      <c r="AE503" s="1"/>
      <c r="AF503" s="1"/>
      <c r="AG503" s="1"/>
    </row>
    <row r="513" spans="11:27" x14ac:dyDescent="0.25">
      <c r="K513" s="13"/>
    </row>
    <row r="514" spans="11:27" x14ac:dyDescent="0.25">
      <c r="K514" s="13"/>
    </row>
    <row r="515" spans="11:27" x14ac:dyDescent="0.25">
      <c r="K515" s="13"/>
    </row>
    <row r="516" spans="11:27" x14ac:dyDescent="0.25">
      <c r="K516" s="13"/>
    </row>
    <row r="517" spans="11:27" x14ac:dyDescent="0.25">
      <c r="K517" s="13"/>
    </row>
    <row r="518" spans="11:27" ht="15.75" thickBot="1" x14ac:dyDescent="0.3">
      <c r="K518" s="13"/>
      <c r="R518" s="14" t="s">
        <v>379</v>
      </c>
    </row>
    <row r="519" spans="11:27" x14ac:dyDescent="0.25">
      <c r="K519" s="13"/>
      <c r="R519" s="564" t="s">
        <v>4</v>
      </c>
      <c r="S519" s="117"/>
      <c r="T519" s="5"/>
      <c r="U519" s="5"/>
      <c r="V519" s="20"/>
      <c r="W519" s="5">
        <v>20</v>
      </c>
      <c r="X519" s="6">
        <v>25</v>
      </c>
    </row>
    <row r="520" spans="11:27" x14ac:dyDescent="0.25">
      <c r="K520" s="13"/>
      <c r="L520" s="13"/>
      <c r="M520" s="13"/>
      <c r="N520" s="13"/>
      <c r="O520" s="13"/>
      <c r="P520" s="13"/>
      <c r="R520" s="565"/>
      <c r="S520" s="130">
        <v>74.3</v>
      </c>
      <c r="T520" s="46"/>
      <c r="U520" s="46">
        <v>65</v>
      </c>
      <c r="V520" s="46"/>
      <c r="W520" s="46">
        <v>50</v>
      </c>
      <c r="X520" s="47">
        <v>35</v>
      </c>
    </row>
    <row r="521" spans="11:27" ht="15.75" thickBot="1" x14ac:dyDescent="0.3">
      <c r="K521" s="13"/>
      <c r="L521" s="13"/>
      <c r="M521" s="13"/>
      <c r="N521" s="13"/>
      <c r="O521" s="13"/>
      <c r="P521" s="13"/>
      <c r="R521" s="354" t="s">
        <v>5</v>
      </c>
      <c r="S521" s="8">
        <v>0</v>
      </c>
      <c r="T521" s="8">
        <v>0.28999999999999998</v>
      </c>
      <c r="U521" s="9">
        <v>0.3</v>
      </c>
      <c r="V521" s="9">
        <v>0.69</v>
      </c>
      <c r="W521" s="10">
        <v>0.7</v>
      </c>
      <c r="X521" s="11">
        <v>1</v>
      </c>
    </row>
    <row r="522" spans="11:27" x14ac:dyDescent="0.25">
      <c r="K522" s="1"/>
      <c r="L522" s="1"/>
      <c r="M522" s="1"/>
      <c r="N522" s="1"/>
      <c r="O522" s="1"/>
      <c r="P522" s="1"/>
      <c r="Q522" s="262"/>
    </row>
    <row r="523" spans="11:27" x14ac:dyDescent="0.25">
      <c r="K523" s="1"/>
      <c r="L523" s="1"/>
      <c r="M523" s="1"/>
      <c r="N523" s="1"/>
      <c r="O523" s="1"/>
      <c r="P523" s="1"/>
      <c r="Q523" s="262"/>
      <c r="S523" s="291" t="s">
        <v>219</v>
      </c>
      <c r="T523" s="13"/>
    </row>
    <row r="524" spans="11:27" x14ac:dyDescent="0.25">
      <c r="K524" s="1"/>
      <c r="L524" s="1"/>
      <c r="M524" s="1"/>
      <c r="N524" s="1"/>
      <c r="O524" s="1"/>
      <c r="P524" s="1"/>
      <c r="S524" s="13" t="s">
        <v>344</v>
      </c>
      <c r="T524" s="13" t="s">
        <v>345</v>
      </c>
    </row>
    <row r="525" spans="11:27" x14ac:dyDescent="0.25">
      <c r="K525" s="2"/>
      <c r="L525" s="2"/>
      <c r="M525" s="2"/>
      <c r="N525" s="2"/>
      <c r="O525" s="2"/>
      <c r="P525" s="2"/>
      <c r="R525" s="129" t="s">
        <v>133</v>
      </c>
      <c r="S525" s="13"/>
      <c r="T525" s="13">
        <v>-2.2499999999999999E-4</v>
      </c>
    </row>
    <row r="526" spans="11:27" x14ac:dyDescent="0.25">
      <c r="K526" s="2"/>
      <c r="L526" s="2"/>
      <c r="M526" s="2"/>
      <c r="N526" s="2"/>
      <c r="O526" s="2"/>
      <c r="P526" s="2"/>
      <c r="R526" s="129" t="s">
        <v>134</v>
      </c>
      <c r="S526" s="13">
        <v>0.06</v>
      </c>
      <c r="T526" s="13">
        <v>-8.4599999999999996E-4</v>
      </c>
      <c r="V526" s="19"/>
    </row>
    <row r="527" spans="11:27" x14ac:dyDescent="0.25">
      <c r="K527" s="1"/>
      <c r="L527" s="1"/>
      <c r="M527" s="1"/>
      <c r="N527" s="1"/>
      <c r="O527" s="1"/>
      <c r="P527" s="1"/>
      <c r="R527" s="129" t="s">
        <v>136</v>
      </c>
      <c r="S527" s="13">
        <v>-0.5</v>
      </c>
      <c r="T527" s="92">
        <v>1.3051090000000001</v>
      </c>
    </row>
    <row r="528" spans="11:27" ht="15.75" thickBot="1" x14ac:dyDescent="0.3">
      <c r="K528" s="1"/>
      <c r="L528" s="1"/>
      <c r="M528" s="1"/>
      <c r="N528" s="1"/>
      <c r="O528" s="1"/>
      <c r="P528" s="1"/>
      <c r="R528" s="13"/>
      <c r="S528" s="13"/>
      <c r="T528" s="13"/>
      <c r="V528" s="13"/>
      <c r="W528" s="13"/>
      <c r="X528" s="13"/>
      <c r="Y528" s="13"/>
      <c r="AA528" s="14" t="s">
        <v>257</v>
      </c>
    </row>
    <row r="529" spans="11:35" x14ac:dyDescent="0.25">
      <c r="K529" s="1"/>
      <c r="L529" s="1"/>
      <c r="M529" s="1"/>
      <c r="N529" s="1"/>
      <c r="O529" s="1"/>
      <c r="P529" s="1"/>
      <c r="V529" s="13"/>
      <c r="W529" s="13"/>
      <c r="X529" s="13"/>
      <c r="Y529" s="12"/>
      <c r="AA529" s="266" t="s">
        <v>297</v>
      </c>
      <c r="AB529" s="5">
        <v>1.23</v>
      </c>
      <c r="AC529" s="5"/>
      <c r="AD529" s="5">
        <v>0.44700000000000001</v>
      </c>
      <c r="AE529" s="5"/>
      <c r="AF529" s="5">
        <v>6.0000000000000001E-3</v>
      </c>
      <c r="AG529" s="6">
        <v>4.0000000000000001E-3</v>
      </c>
    </row>
    <row r="530" spans="11:35" x14ac:dyDescent="0.25">
      <c r="K530" s="1"/>
      <c r="L530" s="1"/>
      <c r="M530" s="1"/>
      <c r="N530" s="1"/>
      <c r="O530" s="1"/>
      <c r="P530" s="1"/>
      <c r="V530" s="13"/>
      <c r="W530" s="13"/>
      <c r="X530" s="13"/>
      <c r="Y530" s="12"/>
      <c r="AA530" s="122" t="s">
        <v>298</v>
      </c>
      <c r="AB530" s="46">
        <v>0.11</v>
      </c>
      <c r="AC530" s="46"/>
      <c r="AD530" s="46">
        <v>5.0999999999999997E-2</v>
      </c>
      <c r="AE530" s="46"/>
      <c r="AF530" s="46">
        <v>1.0999999999999999E-2</v>
      </c>
      <c r="AG530" s="47">
        <v>6.0000000000000001E-3</v>
      </c>
    </row>
    <row r="531" spans="11:35" x14ac:dyDescent="0.25">
      <c r="K531" s="1"/>
      <c r="L531" s="1"/>
      <c r="M531" s="1"/>
      <c r="N531" s="1"/>
      <c r="O531" s="1"/>
      <c r="P531" s="1"/>
      <c r="V531" s="13"/>
      <c r="W531" s="13"/>
      <c r="X531" s="13"/>
      <c r="Y531" s="13"/>
      <c r="AA531" s="122" t="s">
        <v>299</v>
      </c>
      <c r="AB531" s="46">
        <v>4.5999999999999999E-2</v>
      </c>
      <c r="AC531" s="46"/>
      <c r="AD531" s="46">
        <v>0.03</v>
      </c>
      <c r="AE531" s="46"/>
      <c r="AF531" s="46">
        <v>1.2E-2</v>
      </c>
      <c r="AG531" s="47">
        <v>7.0000000000000001E-3</v>
      </c>
    </row>
    <row r="532" spans="11:35" x14ac:dyDescent="0.25">
      <c r="K532" s="1"/>
      <c r="L532" s="1"/>
      <c r="M532" s="17"/>
      <c r="N532" s="1"/>
      <c r="O532" s="1"/>
      <c r="P532" s="1"/>
      <c r="V532" s="13"/>
      <c r="W532" s="13"/>
      <c r="X532" s="13"/>
      <c r="Y532" s="13"/>
      <c r="AA532" s="122" t="s">
        <v>300</v>
      </c>
      <c r="AB532" s="46">
        <v>8.1000000000000003E-2</v>
      </c>
      <c r="AC532" s="46"/>
      <c r="AD532" s="46">
        <v>4.2000000000000003E-2</v>
      </c>
      <c r="AE532" s="46"/>
      <c r="AF532" s="46">
        <v>1.0999999999999999E-2</v>
      </c>
      <c r="AG532" s="47">
        <v>8.0000000000000002E-3</v>
      </c>
    </row>
    <row r="533" spans="11:35" ht="15.75" thickBot="1" x14ac:dyDescent="0.3">
      <c r="K533" s="1"/>
      <c r="L533" s="1"/>
      <c r="M533" s="1"/>
      <c r="N533" s="1"/>
      <c r="O533" s="1"/>
      <c r="P533" s="1"/>
      <c r="V533" s="13"/>
      <c r="W533" s="13"/>
      <c r="X533" s="13"/>
      <c r="Y533" s="13"/>
      <c r="AA533" s="354" t="s">
        <v>5</v>
      </c>
      <c r="AB533" s="8">
        <v>0</v>
      </c>
      <c r="AC533" s="8">
        <v>0.28999999999999998</v>
      </c>
      <c r="AD533" s="9">
        <v>0.3</v>
      </c>
      <c r="AE533" s="9">
        <v>0.69</v>
      </c>
      <c r="AF533" s="10">
        <v>0.7</v>
      </c>
      <c r="AG533" s="11">
        <v>1</v>
      </c>
    </row>
    <row r="534" spans="11:35" x14ac:dyDescent="0.25">
      <c r="K534" s="1"/>
      <c r="L534" s="1"/>
      <c r="M534" s="1"/>
      <c r="N534" s="1"/>
      <c r="O534" s="1"/>
      <c r="P534" s="1"/>
      <c r="V534" s="13"/>
      <c r="W534" s="13"/>
      <c r="X534" s="13"/>
      <c r="Y534" s="13"/>
    </row>
    <row r="535" spans="11:35" x14ac:dyDescent="0.25">
      <c r="K535" s="1"/>
      <c r="L535" s="1"/>
      <c r="M535" s="1"/>
      <c r="N535" s="1"/>
      <c r="O535" s="1"/>
      <c r="P535" s="1"/>
      <c r="AA535" s="271" t="s">
        <v>219</v>
      </c>
      <c r="AB535" s="245"/>
      <c r="AC535" s="138"/>
      <c r="AD535" s="138"/>
      <c r="AE535" s="258"/>
      <c r="AF535" s="566" t="s">
        <v>274</v>
      </c>
      <c r="AG535" s="568"/>
      <c r="AH535" s="568"/>
      <c r="AI535" s="567"/>
    </row>
    <row r="536" spans="11:35" x14ac:dyDescent="0.25">
      <c r="K536" s="1"/>
      <c r="L536" s="1"/>
      <c r="M536" s="1"/>
      <c r="N536" s="1"/>
      <c r="O536" s="1"/>
      <c r="P536" s="1"/>
      <c r="AA536" s="243"/>
      <c r="AB536" s="253" t="s">
        <v>297</v>
      </c>
      <c r="AC536" s="253" t="s">
        <v>298</v>
      </c>
      <c r="AD536" s="253" t="s">
        <v>299</v>
      </c>
      <c r="AE536" s="254" t="s">
        <v>300</v>
      </c>
      <c r="AF536" s="252" t="s">
        <v>297</v>
      </c>
      <c r="AG536" s="253" t="s">
        <v>298</v>
      </c>
      <c r="AH536" s="253" t="s">
        <v>299</v>
      </c>
      <c r="AI536" s="254" t="s">
        <v>300</v>
      </c>
    </row>
    <row r="537" spans="11:35" x14ac:dyDescent="0.25">
      <c r="K537" s="1"/>
      <c r="L537" s="1"/>
      <c r="M537" s="1"/>
      <c r="N537" s="1"/>
      <c r="O537" s="1"/>
      <c r="P537" s="1"/>
      <c r="AA537" s="345" t="s">
        <v>133</v>
      </c>
      <c r="AB537" s="1">
        <v>0.42799999999999999</v>
      </c>
      <c r="AC537" s="1">
        <v>49.649000000000001</v>
      </c>
      <c r="AD537" s="21">
        <v>102.12</v>
      </c>
      <c r="AE537" s="241">
        <v>74.441999999999993</v>
      </c>
      <c r="AF537" s="260"/>
      <c r="AG537" s="1"/>
      <c r="AH537" s="1"/>
      <c r="AI537" s="241"/>
    </row>
    <row r="538" spans="11:35" x14ac:dyDescent="0.25">
      <c r="K538" s="2"/>
      <c r="L538" s="2"/>
      <c r="M538" s="2"/>
      <c r="N538" s="2"/>
      <c r="O538" s="2"/>
      <c r="P538" s="2"/>
      <c r="AA538" s="345" t="s">
        <v>134</v>
      </c>
      <c r="AB538" s="1">
        <v>-1.1009</v>
      </c>
      <c r="AC538" s="1">
        <v>-13.077999999999999</v>
      </c>
      <c r="AD538" s="21">
        <v>-26.510999999999999</v>
      </c>
      <c r="AE538" s="241">
        <v>-16.849</v>
      </c>
      <c r="AF538" s="260">
        <v>-150</v>
      </c>
      <c r="AG538" s="1">
        <v>-60</v>
      </c>
      <c r="AH538" s="121">
        <v>-60</v>
      </c>
      <c r="AI538" s="241">
        <v>-100</v>
      </c>
    </row>
    <row r="539" spans="11:35" x14ac:dyDescent="0.25">
      <c r="K539" s="2"/>
      <c r="L539" s="2"/>
      <c r="M539" s="2"/>
      <c r="N539" s="2"/>
      <c r="O539" s="2"/>
      <c r="P539" s="2"/>
      <c r="AA539" s="358" t="s">
        <v>136</v>
      </c>
      <c r="AB539" s="243">
        <v>0.70660000000000001</v>
      </c>
      <c r="AC539" s="243">
        <v>0.83789999999999998</v>
      </c>
      <c r="AD539" s="253">
        <v>1.0034000000000001</v>
      </c>
      <c r="AE539" s="244">
        <v>0.87629999999999997</v>
      </c>
      <c r="AF539" s="242">
        <v>1.6</v>
      </c>
      <c r="AG539" s="243">
        <v>1.36</v>
      </c>
      <c r="AH539" s="255">
        <v>1.42</v>
      </c>
      <c r="AI539" s="247">
        <v>1.8</v>
      </c>
    </row>
    <row r="540" spans="11:35" x14ac:dyDescent="0.25">
      <c r="K540" s="1"/>
      <c r="L540" s="1"/>
      <c r="M540" s="1"/>
      <c r="N540" s="1"/>
      <c r="O540" s="1"/>
      <c r="P540" s="1"/>
      <c r="AA540" s="13"/>
      <c r="AB540" s="13"/>
      <c r="AC540" s="92"/>
      <c r="AE540" s="1"/>
      <c r="AF540" s="1"/>
      <c r="AG540" s="1"/>
    </row>
    <row r="541" spans="11:35" x14ac:dyDescent="0.25">
      <c r="K541" s="1"/>
      <c r="L541" s="1"/>
      <c r="M541" s="1"/>
      <c r="N541" s="1"/>
      <c r="O541" s="1"/>
      <c r="P541" s="1"/>
    </row>
    <row r="542" spans="11:35" x14ac:dyDescent="0.25">
      <c r="K542" s="1"/>
      <c r="L542" s="1"/>
      <c r="M542" s="1"/>
      <c r="N542" s="1"/>
      <c r="O542" s="1"/>
      <c r="P542" s="1"/>
    </row>
    <row r="543" spans="11:35" x14ac:dyDescent="0.25">
      <c r="K543" s="1"/>
      <c r="L543" s="1"/>
      <c r="M543" s="1"/>
      <c r="N543" s="1"/>
      <c r="O543" s="1"/>
      <c r="P543" s="1"/>
    </row>
    <row r="544" spans="11:35" x14ac:dyDescent="0.25">
      <c r="K544" s="1"/>
      <c r="L544" s="1"/>
      <c r="M544" s="1"/>
      <c r="N544" s="1"/>
      <c r="O544" s="1"/>
      <c r="P544" s="1"/>
    </row>
    <row r="545" spans="11:24" x14ac:dyDescent="0.25">
      <c r="K545" s="1"/>
      <c r="L545" s="1"/>
      <c r="M545" s="1"/>
      <c r="N545" s="17"/>
      <c r="O545" s="1"/>
      <c r="P545" s="1"/>
    </row>
    <row r="546" spans="11:24" x14ac:dyDescent="0.25">
      <c r="K546" s="13"/>
      <c r="L546" s="13"/>
      <c r="M546" s="13"/>
      <c r="N546" s="13"/>
      <c r="O546" s="13"/>
      <c r="P546" s="13"/>
    </row>
    <row r="547" spans="11:24" x14ac:dyDescent="0.25">
      <c r="K547" s="13"/>
      <c r="L547" s="13"/>
      <c r="M547" s="13"/>
      <c r="N547" s="13"/>
      <c r="O547" s="13"/>
      <c r="P547" s="13"/>
    </row>
    <row r="548" spans="11:24" x14ac:dyDescent="0.25">
      <c r="K548" s="13"/>
      <c r="L548" s="13"/>
      <c r="M548" s="13"/>
      <c r="N548" s="13"/>
      <c r="O548" s="13"/>
      <c r="P548" s="13"/>
    </row>
    <row r="553" spans="11:24" ht="15.75" thickBot="1" x14ac:dyDescent="0.3">
      <c r="R553" s="14" t="s">
        <v>381</v>
      </c>
    </row>
    <row r="554" spans="11:24" x14ac:dyDescent="0.25">
      <c r="R554" s="564" t="s">
        <v>4</v>
      </c>
      <c r="S554" s="117">
        <f>0.7/0.04</f>
        <v>17.5</v>
      </c>
      <c r="T554" s="5"/>
      <c r="U554" s="5">
        <v>25</v>
      </c>
      <c r="V554" s="5"/>
      <c r="W554" s="5">
        <v>35</v>
      </c>
      <c r="X554" s="213">
        <v>42.5</v>
      </c>
    </row>
    <row r="555" spans="11:24" x14ac:dyDescent="0.25">
      <c r="R555" s="565"/>
      <c r="S555" s="130">
        <f>5.1/0.08</f>
        <v>63.749999999999993</v>
      </c>
      <c r="T555" s="46"/>
      <c r="U555" s="46">
        <v>60</v>
      </c>
      <c r="V555" s="46"/>
      <c r="W555" s="46">
        <v>55</v>
      </c>
      <c r="X555" s="216">
        <f>4.1/0.08</f>
        <v>51.249999999999993</v>
      </c>
    </row>
    <row r="556" spans="11:24" ht="15.75" thickBot="1" x14ac:dyDescent="0.3">
      <c r="R556" s="354" t="s">
        <v>5</v>
      </c>
      <c r="S556" s="8">
        <v>0</v>
      </c>
      <c r="T556" s="8">
        <v>0.28999999999999998</v>
      </c>
      <c r="U556" s="9">
        <v>0.3</v>
      </c>
      <c r="V556" s="9">
        <v>0.69</v>
      </c>
      <c r="W556" s="10">
        <v>0.7</v>
      </c>
      <c r="X556" s="11">
        <v>1</v>
      </c>
    </row>
    <row r="558" spans="11:24" x14ac:dyDescent="0.25">
      <c r="S558" s="116" t="s">
        <v>212</v>
      </c>
      <c r="T558" s="116"/>
    </row>
    <row r="559" spans="11:24" x14ac:dyDescent="0.25">
      <c r="S559" s="13" t="s">
        <v>344</v>
      </c>
      <c r="T559" s="13" t="s">
        <v>345</v>
      </c>
    </row>
    <row r="560" spans="11:24" x14ac:dyDescent="0.25">
      <c r="R560" s="129" t="s">
        <v>133</v>
      </c>
      <c r="S560" s="13">
        <v>0.04</v>
      </c>
      <c r="T560" s="13">
        <v>-0.08</v>
      </c>
    </row>
    <row r="561" spans="18:36" x14ac:dyDescent="0.25">
      <c r="R561" s="129" t="s">
        <v>134</v>
      </c>
      <c r="S561" s="13">
        <v>-0.7</v>
      </c>
      <c r="T561" s="13">
        <v>5.0999999999999996</v>
      </c>
    </row>
    <row r="562" spans="18:36" x14ac:dyDescent="0.25">
      <c r="R562" s="13"/>
      <c r="S562" s="13"/>
      <c r="T562" s="92"/>
    </row>
    <row r="563" spans="18:36" x14ac:dyDescent="0.25">
      <c r="R563" s="13"/>
      <c r="S563" s="13"/>
      <c r="T563" s="13"/>
      <c r="V563" s="13"/>
      <c r="W563" s="13"/>
      <c r="X563" s="13"/>
      <c r="Y563" s="13"/>
    </row>
    <row r="564" spans="18:36" x14ac:dyDescent="0.25">
      <c r="V564" s="13"/>
      <c r="W564" s="13"/>
      <c r="X564" s="13"/>
      <c r="Y564" s="12"/>
    </row>
    <row r="565" spans="18:36" x14ac:dyDescent="0.25">
      <c r="V565" s="13"/>
      <c r="W565" s="13"/>
      <c r="X565" s="13"/>
      <c r="Y565" s="12"/>
    </row>
    <row r="566" spans="18:36" ht="15.75" thickBot="1" x14ac:dyDescent="0.3">
      <c r="V566" s="13"/>
      <c r="W566" s="13"/>
      <c r="X566" s="13"/>
      <c r="Y566" s="13"/>
      <c r="AA566" s="14" t="s">
        <v>257</v>
      </c>
    </row>
    <row r="567" spans="18:36" x14ac:dyDescent="0.25">
      <c r="V567" s="13"/>
      <c r="W567" s="13"/>
      <c r="X567" s="13"/>
      <c r="Y567" s="13"/>
      <c r="AA567" s="266" t="s">
        <v>301</v>
      </c>
      <c r="AB567" s="5">
        <v>0.37</v>
      </c>
      <c r="AC567" s="5"/>
      <c r="AD567" s="5">
        <v>0.3</v>
      </c>
      <c r="AE567" s="5"/>
      <c r="AF567" s="5">
        <v>3.2000000000000001E-2</v>
      </c>
      <c r="AG567" s="6">
        <v>1.2999999999999999E-2</v>
      </c>
    </row>
    <row r="568" spans="18:36" x14ac:dyDescent="0.25">
      <c r="V568" s="13"/>
      <c r="W568" s="13"/>
      <c r="X568" s="13"/>
      <c r="Y568" s="13"/>
      <c r="AA568" s="122" t="s">
        <v>302</v>
      </c>
      <c r="AB568" s="46">
        <v>0.43</v>
      </c>
      <c r="AC568" s="46"/>
      <c r="AD568" s="46">
        <v>0.28000000000000003</v>
      </c>
      <c r="AE568" s="46"/>
      <c r="AF568" s="46">
        <v>0.02</v>
      </c>
      <c r="AG568" s="47">
        <v>1.7999999999999999E-2</v>
      </c>
    </row>
    <row r="569" spans="18:36" x14ac:dyDescent="0.25">
      <c r="V569" s="13"/>
      <c r="W569" s="13"/>
      <c r="X569" s="13"/>
      <c r="Y569" s="13"/>
      <c r="AA569" s="122" t="s">
        <v>303</v>
      </c>
      <c r="AB569" s="46">
        <v>0.217</v>
      </c>
      <c r="AC569" s="46"/>
      <c r="AD569" s="46">
        <v>0.12</v>
      </c>
      <c r="AE569" s="46"/>
      <c r="AF569" s="46">
        <v>3.3000000000000002E-2</v>
      </c>
      <c r="AG569" s="47">
        <v>0.02</v>
      </c>
    </row>
    <row r="570" spans="18:36" x14ac:dyDescent="0.25">
      <c r="AA570" s="122" t="s">
        <v>304</v>
      </c>
      <c r="AB570" s="46">
        <v>0.44800000000000001</v>
      </c>
      <c r="AC570" s="46"/>
      <c r="AD570" s="46">
        <v>0.16500000000000001</v>
      </c>
      <c r="AE570" s="46"/>
      <c r="AF570" s="46">
        <v>8.5999999999999993E-2</v>
      </c>
      <c r="AG570" s="47">
        <v>7.0999999999999994E-2</v>
      </c>
    </row>
    <row r="571" spans="18:36" ht="15.75" thickBot="1" x14ac:dyDescent="0.3">
      <c r="AA571" s="354" t="s">
        <v>5</v>
      </c>
      <c r="AB571" s="8">
        <v>0</v>
      </c>
      <c r="AC571" s="8">
        <v>0.28999999999999998</v>
      </c>
      <c r="AD571" s="9">
        <v>0.3</v>
      </c>
      <c r="AE571" s="9">
        <v>0.69</v>
      </c>
      <c r="AF571" s="10">
        <v>0.7</v>
      </c>
      <c r="AG571" s="11">
        <v>1</v>
      </c>
    </row>
    <row r="572" spans="18:36" x14ac:dyDescent="0.25">
      <c r="AA572" s="271" t="s">
        <v>219</v>
      </c>
    </row>
    <row r="573" spans="18:36" x14ac:dyDescent="0.25">
      <c r="AA573" s="271"/>
      <c r="AB573" s="239" t="s">
        <v>135</v>
      </c>
      <c r="AC573" s="568" t="s">
        <v>138</v>
      </c>
      <c r="AD573" s="568"/>
      <c r="AE573" s="239" t="s">
        <v>135</v>
      </c>
      <c r="AF573" s="566" t="s">
        <v>250</v>
      </c>
      <c r="AG573" s="567"/>
      <c r="AH573" s="566" t="s">
        <v>274</v>
      </c>
      <c r="AI573" s="568"/>
      <c r="AJ573" s="567"/>
    </row>
    <row r="574" spans="18:36" x14ac:dyDescent="0.25">
      <c r="AA574" s="243"/>
      <c r="AB574" s="253" t="s">
        <v>301</v>
      </c>
      <c r="AC574" s="253" t="s">
        <v>302</v>
      </c>
      <c r="AD574" s="253" t="s">
        <v>303</v>
      </c>
      <c r="AE574" s="253" t="s">
        <v>304</v>
      </c>
      <c r="AF574" s="252" t="s">
        <v>301</v>
      </c>
      <c r="AG574" s="254" t="s">
        <v>304</v>
      </c>
      <c r="AH574" s="252" t="s">
        <v>301</v>
      </c>
      <c r="AI574" s="253" t="s">
        <v>303</v>
      </c>
      <c r="AJ574" s="254" t="s">
        <v>304</v>
      </c>
    </row>
    <row r="575" spans="18:36" x14ac:dyDescent="0.25">
      <c r="AA575" s="345" t="s">
        <v>133</v>
      </c>
      <c r="AB575" s="1"/>
      <c r="AC575" s="1">
        <v>-1.1256999999999999</v>
      </c>
      <c r="AD575" s="21">
        <v>8.1789000000000005</v>
      </c>
      <c r="AE575" s="21"/>
      <c r="AF575" s="260"/>
      <c r="AG575" s="262"/>
      <c r="AH575" s="240"/>
      <c r="AI575" s="21"/>
    </row>
    <row r="576" spans="18:36" x14ac:dyDescent="0.25">
      <c r="AA576" s="345" t="s">
        <v>134</v>
      </c>
      <c r="AB576" s="1">
        <v>-4.2857000000000003</v>
      </c>
      <c r="AC576" s="1">
        <v>-1.2008000000000001</v>
      </c>
      <c r="AD576" s="21">
        <v>-5.8491</v>
      </c>
      <c r="AE576" s="21">
        <v>-1.0601</v>
      </c>
      <c r="AF576" s="260">
        <v>-1.4924999999999999</v>
      </c>
      <c r="AG576" s="262">
        <v>-5.0632999999999999</v>
      </c>
      <c r="AH576" s="263">
        <v>-15.789</v>
      </c>
      <c r="AI576" s="121">
        <v>-23.077000000000002</v>
      </c>
      <c r="AJ576" s="241">
        <v>-20</v>
      </c>
    </row>
    <row r="577" spans="14:36" x14ac:dyDescent="0.25">
      <c r="AA577" s="358" t="s">
        <v>136</v>
      </c>
      <c r="AB577" s="243">
        <v>1.5857000000000001</v>
      </c>
      <c r="AC577" s="243">
        <v>0.72450000000000003</v>
      </c>
      <c r="AD577" s="253">
        <v>0.8841</v>
      </c>
      <c r="AE577" s="243">
        <v>0.47489999999999999</v>
      </c>
      <c r="AF577" s="242">
        <v>0.74780000000000002</v>
      </c>
      <c r="AG577" s="244">
        <v>1.1354</v>
      </c>
      <c r="AH577" s="261">
        <v>1.2053</v>
      </c>
      <c r="AI577" s="255">
        <v>1.4615</v>
      </c>
      <c r="AJ577" s="247">
        <v>2.42</v>
      </c>
    </row>
    <row r="578" spans="14:36" x14ac:dyDescent="0.25">
      <c r="AA578" s="13"/>
      <c r="AB578" s="13"/>
      <c r="AC578" s="92"/>
      <c r="AE578" s="1"/>
      <c r="AF578" s="1"/>
      <c r="AG578" s="1"/>
    </row>
    <row r="587" spans="14:36" ht="15.75" thickBot="1" x14ac:dyDescent="0.3">
      <c r="R587" s="14" t="s">
        <v>380</v>
      </c>
    </row>
    <row r="588" spans="14:36" x14ac:dyDescent="0.25">
      <c r="R588" s="560" t="s">
        <v>15</v>
      </c>
      <c r="S588" s="302">
        <v>16.87</v>
      </c>
      <c r="T588" s="5"/>
      <c r="U588" s="5">
        <v>20</v>
      </c>
      <c r="V588" s="20"/>
      <c r="W588" s="5">
        <v>25</v>
      </c>
      <c r="X588" s="6">
        <v>30</v>
      </c>
    </row>
    <row r="589" spans="14:36" x14ac:dyDescent="0.25">
      <c r="R589" s="561"/>
      <c r="S589" s="131">
        <v>83.2</v>
      </c>
      <c r="T589" s="46"/>
      <c r="U589" s="46">
        <v>65</v>
      </c>
      <c r="V589" s="2">
        <v>41</v>
      </c>
      <c r="W589" s="46"/>
      <c r="X589" s="47"/>
    </row>
    <row r="590" spans="14:36" ht="15.75" thickBot="1" x14ac:dyDescent="0.3">
      <c r="N590" s="21"/>
      <c r="R590" s="354" t="s">
        <v>16</v>
      </c>
      <c r="S590" s="8">
        <v>0</v>
      </c>
      <c r="T590" s="8">
        <v>0.28999999999999998</v>
      </c>
      <c r="U590" s="9">
        <v>0.3</v>
      </c>
      <c r="V590" s="9">
        <v>0.69</v>
      </c>
      <c r="W590" s="10">
        <v>0.7</v>
      </c>
      <c r="X590" s="11">
        <v>1</v>
      </c>
    </row>
    <row r="591" spans="14:36" x14ac:dyDescent="0.25">
      <c r="N591" s="301"/>
      <c r="O591" s="13"/>
    </row>
    <row r="592" spans="14:36" x14ac:dyDescent="0.25">
      <c r="N592" s="13"/>
      <c r="O592" s="13"/>
      <c r="S592" s="291" t="s">
        <v>219</v>
      </c>
      <c r="T592" s="13"/>
    </row>
    <row r="593" spans="18:21" x14ac:dyDescent="0.25">
      <c r="S593" s="13" t="s">
        <v>344</v>
      </c>
      <c r="T593" s="13" t="s">
        <v>345</v>
      </c>
    </row>
    <row r="594" spans="18:21" x14ac:dyDescent="0.25">
      <c r="R594" s="123" t="s">
        <v>133</v>
      </c>
      <c r="S594" s="13">
        <v>-1.98E-3</v>
      </c>
      <c r="T594" s="13"/>
    </row>
    <row r="595" spans="18:21" x14ac:dyDescent="0.25">
      <c r="R595" s="123" t="s">
        <v>134</v>
      </c>
      <c r="S595" s="13">
        <v>0.16907</v>
      </c>
      <c r="T595" s="13">
        <v>-1.6299999999999999E-2</v>
      </c>
    </row>
    <row r="596" spans="18:21" x14ac:dyDescent="0.25">
      <c r="R596" s="159" t="s">
        <v>136</v>
      </c>
      <c r="S596" s="13">
        <v>-2.28837</v>
      </c>
      <c r="T596" s="13">
        <v>1.3607</v>
      </c>
    </row>
    <row r="597" spans="18:21" x14ac:dyDescent="0.25">
      <c r="R597" s="13"/>
      <c r="S597" s="13"/>
      <c r="T597" s="92"/>
      <c r="U597" s="16"/>
    </row>
    <row r="598" spans="18:21" x14ac:dyDescent="0.25">
      <c r="R598" s="13"/>
      <c r="S598" s="13"/>
      <c r="T598" s="92"/>
    </row>
    <row r="621" spans="18:24" ht="15.75" thickBot="1" x14ac:dyDescent="0.3">
      <c r="R621" s="14" t="s">
        <v>382</v>
      </c>
    </row>
    <row r="622" spans="18:24" x14ac:dyDescent="0.25">
      <c r="R622" s="5" t="s">
        <v>15</v>
      </c>
      <c r="S622" s="5">
        <v>1.6</v>
      </c>
      <c r="T622" s="5"/>
      <c r="U622" s="5">
        <v>1.4</v>
      </c>
      <c r="V622" s="5">
        <v>1.2</v>
      </c>
      <c r="W622" s="5"/>
      <c r="X622" s="6">
        <v>1</v>
      </c>
    </row>
    <row r="623" spans="18:24" ht="15.75" thickBot="1" x14ac:dyDescent="0.3">
      <c r="R623" s="354" t="s">
        <v>16</v>
      </c>
      <c r="S623" s="8">
        <v>0</v>
      </c>
      <c r="T623" s="8">
        <v>0.28999999999999998</v>
      </c>
      <c r="U623" s="9">
        <v>0.3</v>
      </c>
      <c r="V623" s="9">
        <v>0.69</v>
      </c>
      <c r="W623" s="10">
        <v>0.7</v>
      </c>
      <c r="X623" s="11">
        <v>1</v>
      </c>
    </row>
    <row r="625" spans="18:20" x14ac:dyDescent="0.25">
      <c r="R625" s="13"/>
      <c r="S625" s="166" t="s">
        <v>392</v>
      </c>
      <c r="T625" s="166"/>
    </row>
    <row r="626" spans="18:20" x14ac:dyDescent="0.25">
      <c r="R626" s="157" t="s">
        <v>133</v>
      </c>
      <c r="S626" s="13">
        <v>3.5417000000000001</v>
      </c>
      <c r="T626" s="13"/>
    </row>
    <row r="627" spans="18:20" x14ac:dyDescent="0.25">
      <c r="R627" s="207" t="s">
        <v>134</v>
      </c>
      <c r="S627" s="13">
        <v>-13.75</v>
      </c>
      <c r="T627" s="13"/>
    </row>
    <row r="628" spans="18:20" x14ac:dyDescent="0.25">
      <c r="R628" s="207" t="s">
        <v>136</v>
      </c>
      <c r="S628" s="13">
        <v>15.808</v>
      </c>
      <c r="T628" s="13"/>
    </row>
    <row r="629" spans="18:20" x14ac:dyDescent="0.25">
      <c r="R629" s="157" t="s">
        <v>137</v>
      </c>
      <c r="S629" s="13">
        <v>-4.5999999999999996</v>
      </c>
      <c r="T629" s="92"/>
    </row>
    <row r="654" spans="18:24" ht="15.75" thickBot="1" x14ac:dyDescent="0.3">
      <c r="R654" s="14" t="s">
        <v>404</v>
      </c>
    </row>
    <row r="655" spans="18:24" x14ac:dyDescent="0.25">
      <c r="R655" s="564" t="s">
        <v>15</v>
      </c>
      <c r="S655" s="5"/>
      <c r="T655" s="5"/>
      <c r="U655" s="5"/>
      <c r="V655" s="5"/>
      <c r="W655" s="5"/>
      <c r="X655" s="6">
        <v>1.3</v>
      </c>
    </row>
    <row r="656" spans="18:24" x14ac:dyDescent="0.25">
      <c r="R656" s="565"/>
      <c r="S656" s="46"/>
      <c r="T656" s="46"/>
      <c r="U656" s="46">
        <v>1.8</v>
      </c>
      <c r="V656" s="46">
        <v>1.61</v>
      </c>
      <c r="W656" s="46"/>
      <c r="X656" s="47">
        <v>1.6</v>
      </c>
    </row>
    <row r="657" spans="18:25" ht="15.75" thickBot="1" x14ac:dyDescent="0.3">
      <c r="R657" s="354" t="s">
        <v>16</v>
      </c>
      <c r="S657" s="8">
        <v>0</v>
      </c>
      <c r="T657" s="8">
        <v>0.2</v>
      </c>
      <c r="U657" s="9">
        <v>0.3</v>
      </c>
      <c r="V657" s="9">
        <v>0.69</v>
      </c>
      <c r="W657" s="10">
        <v>0.7</v>
      </c>
      <c r="X657" s="11">
        <v>1</v>
      </c>
    </row>
    <row r="659" spans="18:25" x14ac:dyDescent="0.25">
      <c r="R659" s="13"/>
      <c r="S659" s="116" t="s">
        <v>212</v>
      </c>
      <c r="T659" s="166"/>
      <c r="U659" s="166"/>
    </row>
    <row r="660" spans="18:25" x14ac:dyDescent="0.25">
      <c r="R660" s="129" t="s">
        <v>133</v>
      </c>
      <c r="S660" s="13">
        <v>-2.0499999999999998</v>
      </c>
      <c r="T660" s="13"/>
    </row>
    <row r="661" spans="18:25" x14ac:dyDescent="0.25">
      <c r="R661" s="129" t="s">
        <v>134</v>
      </c>
      <c r="S661" s="13">
        <v>3.99</v>
      </c>
      <c r="T661" s="13"/>
    </row>
    <row r="662" spans="18:25" x14ac:dyDescent="0.25">
      <c r="R662" s="134"/>
      <c r="S662" s="13"/>
      <c r="T662" s="92"/>
    </row>
    <row r="663" spans="18:25" x14ac:dyDescent="0.25">
      <c r="S663" s="1"/>
      <c r="T663" s="1"/>
      <c r="U663" s="1"/>
      <c r="V663" s="1"/>
      <c r="W663" s="1"/>
      <c r="X663" s="1"/>
      <c r="Y663" s="1"/>
    </row>
    <row r="664" spans="18:25" x14ac:dyDescent="0.25">
      <c r="S664" s="1"/>
      <c r="T664" s="1"/>
      <c r="U664" s="1"/>
      <c r="V664" s="1"/>
      <c r="W664" s="1"/>
      <c r="X664" s="1"/>
      <c r="Y664" s="1"/>
    </row>
    <row r="665" spans="18:25" x14ac:dyDescent="0.25">
      <c r="S665" s="1"/>
      <c r="T665" s="1"/>
      <c r="U665" s="1"/>
      <c r="V665" s="1"/>
      <c r="W665" s="1"/>
      <c r="X665" s="1"/>
      <c r="Y665" s="1"/>
    </row>
    <row r="666" spans="18:25" x14ac:dyDescent="0.25">
      <c r="S666" s="1"/>
      <c r="T666" s="1"/>
      <c r="U666" s="1"/>
      <c r="V666" s="1"/>
      <c r="W666" s="1"/>
      <c r="X666" s="1"/>
      <c r="Y666" s="1"/>
    </row>
    <row r="667" spans="18:25" x14ac:dyDescent="0.25">
      <c r="S667" s="1"/>
      <c r="T667" s="1"/>
      <c r="U667" s="1"/>
      <c r="V667" s="1"/>
      <c r="W667" s="1"/>
      <c r="X667" s="1"/>
      <c r="Y667" s="1"/>
    </row>
    <row r="668" spans="18:25" x14ac:dyDescent="0.25">
      <c r="S668" s="1"/>
      <c r="T668" s="1"/>
      <c r="U668" s="1"/>
      <c r="V668" s="1"/>
      <c r="W668" s="1"/>
      <c r="X668" s="1"/>
      <c r="Y668" s="1"/>
    </row>
    <row r="669" spans="18:25" x14ac:dyDescent="0.25">
      <c r="S669" s="1"/>
      <c r="T669" s="1"/>
      <c r="U669" s="1"/>
      <c r="V669" s="1"/>
      <c r="W669" s="1"/>
      <c r="X669" s="1"/>
      <c r="Y669" s="1"/>
    </row>
    <row r="670" spans="18:25" x14ac:dyDescent="0.25">
      <c r="S670" s="1"/>
      <c r="T670" s="1"/>
      <c r="U670" s="1"/>
      <c r="V670" s="1"/>
      <c r="W670" s="1"/>
      <c r="X670" s="1"/>
      <c r="Y670" s="1"/>
    </row>
    <row r="671" spans="18:25" x14ac:dyDescent="0.25">
      <c r="S671" s="1"/>
      <c r="T671" s="1"/>
      <c r="U671" s="1"/>
      <c r="V671" s="1"/>
      <c r="W671" s="1"/>
      <c r="X671" s="1"/>
      <c r="Y671" s="1"/>
    </row>
    <row r="672" spans="18:25" x14ac:dyDescent="0.25">
      <c r="S672" s="1"/>
      <c r="T672" s="1"/>
      <c r="U672" s="1"/>
      <c r="V672" s="1"/>
      <c r="W672" s="1"/>
      <c r="X672" s="1"/>
      <c r="Y672" s="1"/>
    </row>
    <row r="673" spans="18:25" x14ac:dyDescent="0.25">
      <c r="S673" s="1"/>
      <c r="T673" s="1"/>
      <c r="U673" s="1"/>
      <c r="V673" s="1"/>
      <c r="W673" s="1"/>
      <c r="X673" s="1"/>
      <c r="Y673" s="1"/>
    </row>
    <row r="674" spans="18:25" x14ac:dyDescent="0.25">
      <c r="S674" s="1"/>
      <c r="T674" s="1"/>
      <c r="U674" s="1"/>
      <c r="V674" s="1"/>
      <c r="W674" s="1"/>
      <c r="X674" s="1"/>
      <c r="Y674" s="1"/>
    </row>
    <row r="675" spans="18:25" x14ac:dyDescent="0.25">
      <c r="S675" s="1"/>
      <c r="T675" s="1"/>
      <c r="U675" s="1"/>
      <c r="V675" s="1"/>
      <c r="W675" s="1"/>
      <c r="X675" s="1"/>
      <c r="Y675" s="1"/>
    </row>
    <row r="676" spans="18:25" x14ac:dyDescent="0.25">
      <c r="S676" s="1"/>
      <c r="T676" s="1"/>
      <c r="U676" s="1"/>
      <c r="V676" s="1"/>
      <c r="W676" s="1"/>
      <c r="X676" s="1"/>
      <c r="Y676" s="1"/>
    </row>
    <row r="687" spans="18:25" ht="15.75" thickBot="1" x14ac:dyDescent="0.3">
      <c r="R687" s="14" t="s">
        <v>383</v>
      </c>
    </row>
    <row r="688" spans="18:25" x14ac:dyDescent="0.25">
      <c r="R688" s="564" t="s">
        <v>15</v>
      </c>
      <c r="S688" s="5"/>
      <c r="T688" s="5"/>
      <c r="U688" s="5"/>
      <c r="V688" s="5"/>
      <c r="W688" s="5"/>
      <c r="X688" s="6">
        <v>1.2</v>
      </c>
    </row>
    <row r="689" spans="17:26" x14ac:dyDescent="0.25">
      <c r="R689" s="565"/>
      <c r="S689" s="46"/>
      <c r="T689" s="46"/>
      <c r="U689" s="46">
        <v>1.5</v>
      </c>
      <c r="V689" s="2">
        <v>1.41</v>
      </c>
      <c r="W689" s="2"/>
      <c r="X689" s="47">
        <v>1.4</v>
      </c>
    </row>
    <row r="690" spans="17:26" ht="15.75" thickBot="1" x14ac:dyDescent="0.3">
      <c r="R690" s="354" t="s">
        <v>16</v>
      </c>
      <c r="S690" s="8">
        <v>0</v>
      </c>
      <c r="T690" s="8">
        <v>0.2</v>
      </c>
      <c r="U690" s="9">
        <v>0.3</v>
      </c>
      <c r="V690" s="9">
        <v>0.69</v>
      </c>
      <c r="W690" s="10">
        <v>0.7</v>
      </c>
      <c r="X690" s="11">
        <v>1</v>
      </c>
    </row>
    <row r="692" spans="17:26" x14ac:dyDescent="0.25">
      <c r="R692" s="13"/>
      <c r="S692" s="166" t="s">
        <v>212</v>
      </c>
      <c r="T692" s="166"/>
    </row>
    <row r="693" spans="17:26" x14ac:dyDescent="0.25">
      <c r="R693" s="129" t="s">
        <v>133</v>
      </c>
      <c r="S693" s="13">
        <v>-4.3333000000000004</v>
      </c>
      <c r="T693" s="13"/>
      <c r="Z693" s="262"/>
    </row>
    <row r="694" spans="17:26" x14ac:dyDescent="0.25">
      <c r="R694" s="129" t="s">
        <v>134</v>
      </c>
      <c r="S694" s="13">
        <v>6.8</v>
      </c>
      <c r="T694" s="13"/>
      <c r="Z694" s="262"/>
    </row>
    <row r="695" spans="17:26" x14ac:dyDescent="0.25">
      <c r="R695" s="123"/>
      <c r="S695" s="13"/>
      <c r="T695" s="13"/>
    </row>
    <row r="696" spans="17:26" x14ac:dyDescent="0.25">
      <c r="R696" s="13"/>
      <c r="S696" s="13"/>
      <c r="T696" s="92"/>
    </row>
    <row r="697" spans="17:26" x14ac:dyDescent="0.25">
      <c r="R697" s="13"/>
      <c r="S697" s="13"/>
      <c r="T697" s="13"/>
    </row>
    <row r="698" spans="17:26" x14ac:dyDescent="0.25">
      <c r="S698" s="1"/>
    </row>
    <row r="701" spans="17:26" x14ac:dyDescent="0.25">
      <c r="Q701" s="262"/>
    </row>
    <row r="702" spans="17:26" x14ac:dyDescent="0.25">
      <c r="Q702" s="262"/>
    </row>
    <row r="703" spans="17:26" x14ac:dyDescent="0.25">
      <c r="Q703" s="262"/>
    </row>
    <row r="704" spans="17:26" x14ac:dyDescent="0.25">
      <c r="Q704" s="262"/>
    </row>
    <row r="705" spans="17:24" x14ac:dyDescent="0.25">
      <c r="Q705" s="262"/>
    </row>
    <row r="706" spans="17:24" x14ac:dyDescent="0.25">
      <c r="Q706" s="262"/>
    </row>
    <row r="707" spans="17:24" x14ac:dyDescent="0.25">
      <c r="Q707" s="262"/>
    </row>
    <row r="708" spans="17:24" x14ac:dyDescent="0.25">
      <c r="Q708" s="262"/>
    </row>
    <row r="709" spans="17:24" x14ac:dyDescent="0.25">
      <c r="Q709" s="262"/>
    </row>
    <row r="710" spans="17:24" x14ac:dyDescent="0.25">
      <c r="Q710" s="262"/>
    </row>
    <row r="711" spans="17:24" x14ac:dyDescent="0.25">
      <c r="Q711" s="355"/>
    </row>
    <row r="712" spans="17:24" x14ac:dyDescent="0.25">
      <c r="Q712" s="355"/>
    </row>
    <row r="713" spans="17:24" x14ac:dyDescent="0.25">
      <c r="Q713" s="262"/>
    </row>
    <row r="714" spans="17:24" x14ac:dyDescent="0.25">
      <c r="Q714" s="262"/>
    </row>
    <row r="715" spans="17:24" x14ac:dyDescent="0.25">
      <c r="Q715" s="262"/>
    </row>
    <row r="717" spans="17:24" ht="15.75" thickBot="1" x14ac:dyDescent="0.3">
      <c r="Q717" s="262"/>
      <c r="R717" s="14" t="s">
        <v>384</v>
      </c>
    </row>
    <row r="718" spans="17:24" x14ac:dyDescent="0.25">
      <c r="Q718" s="262"/>
      <c r="R718" s="5" t="s">
        <v>15</v>
      </c>
      <c r="S718" s="5"/>
      <c r="T718" s="5"/>
      <c r="U718" s="5"/>
      <c r="V718" s="5"/>
      <c r="W718" s="5">
        <v>1.1499999999999999</v>
      </c>
      <c r="X718" s="6">
        <v>1.4</v>
      </c>
    </row>
    <row r="719" spans="17:24" ht="15.75" thickBot="1" x14ac:dyDescent="0.3">
      <c r="Q719" s="262"/>
      <c r="R719" s="354" t="s">
        <v>16</v>
      </c>
      <c r="S719" s="8">
        <v>0</v>
      </c>
      <c r="T719" s="8">
        <v>0.28999999999999998</v>
      </c>
      <c r="U719" s="9">
        <v>0.3</v>
      </c>
      <c r="V719" s="9">
        <v>0.69</v>
      </c>
      <c r="W719" s="10">
        <v>0.7</v>
      </c>
      <c r="X719" s="11">
        <v>1</v>
      </c>
    </row>
    <row r="720" spans="17:24" x14ac:dyDescent="0.25">
      <c r="Q720" s="262"/>
    </row>
    <row r="721" spans="17:25" x14ac:dyDescent="0.25">
      <c r="Q721" s="262"/>
      <c r="R721" s="13"/>
      <c r="S721" s="166" t="s">
        <v>212</v>
      </c>
      <c r="T721" s="166"/>
    </row>
    <row r="722" spans="17:25" x14ac:dyDescent="0.25">
      <c r="Q722" s="262"/>
      <c r="R722" s="129" t="s">
        <v>133</v>
      </c>
      <c r="S722" s="13">
        <v>1.2</v>
      </c>
      <c r="T722" s="13"/>
    </row>
    <row r="723" spans="17:25" x14ac:dyDescent="0.25">
      <c r="R723" s="129" t="s">
        <v>134</v>
      </c>
      <c r="S723" s="13">
        <v>-0.68</v>
      </c>
      <c r="T723" s="13"/>
    </row>
    <row r="724" spans="17:25" x14ac:dyDescent="0.25">
      <c r="R724" s="13"/>
      <c r="S724" s="13"/>
      <c r="T724" s="92"/>
    </row>
    <row r="725" spans="17:25" x14ac:dyDescent="0.25">
      <c r="S725" s="1"/>
      <c r="T725" s="1"/>
      <c r="U725" s="1"/>
      <c r="V725" s="1"/>
      <c r="W725" s="1"/>
      <c r="X725" s="1"/>
      <c r="Y725" s="1"/>
    </row>
    <row r="726" spans="17:25" x14ac:dyDescent="0.25">
      <c r="S726" s="1"/>
      <c r="T726" s="1"/>
      <c r="U726" s="1"/>
      <c r="V726" s="1"/>
      <c r="W726" s="1"/>
      <c r="X726" s="1"/>
      <c r="Y726" s="1"/>
    </row>
    <row r="727" spans="17:25" x14ac:dyDescent="0.25">
      <c r="S727" s="1"/>
      <c r="T727" s="1"/>
      <c r="U727" s="1"/>
      <c r="V727" s="1"/>
      <c r="W727" s="1"/>
      <c r="X727" s="1"/>
      <c r="Y727" s="1"/>
    </row>
    <row r="728" spans="17:25" x14ac:dyDescent="0.25">
      <c r="S728" s="1"/>
      <c r="T728" s="1"/>
      <c r="U728" s="1"/>
      <c r="V728" s="1"/>
      <c r="W728" s="1"/>
      <c r="X728" s="1"/>
      <c r="Y728" s="1"/>
    </row>
    <row r="729" spans="17:25" x14ac:dyDescent="0.25">
      <c r="S729" s="1"/>
      <c r="T729" s="1"/>
      <c r="U729" s="1"/>
      <c r="V729" s="1"/>
      <c r="W729" s="1"/>
      <c r="X729" s="1"/>
      <c r="Y729" s="1"/>
    </row>
    <row r="730" spans="17:25" x14ac:dyDescent="0.25">
      <c r="S730" s="1"/>
      <c r="T730" s="1"/>
      <c r="U730" s="1"/>
      <c r="V730" s="1"/>
      <c r="W730" s="1"/>
      <c r="X730" s="1"/>
      <c r="Y730" s="1"/>
    </row>
    <row r="731" spans="17:25" x14ac:dyDescent="0.25">
      <c r="S731" s="1"/>
      <c r="T731" s="1"/>
      <c r="U731" s="1"/>
      <c r="V731" s="1"/>
      <c r="W731" s="1"/>
      <c r="X731" s="1"/>
      <c r="Y731" s="1"/>
    </row>
    <row r="732" spans="17:25" x14ac:dyDescent="0.25">
      <c r="S732" s="1"/>
      <c r="T732" s="1"/>
      <c r="U732" s="1"/>
      <c r="V732" s="1"/>
      <c r="W732" s="1"/>
      <c r="X732" s="1"/>
      <c r="Y732" s="1"/>
    </row>
    <row r="733" spans="17:25" x14ac:dyDescent="0.25">
      <c r="S733" s="1"/>
      <c r="T733" s="1"/>
      <c r="U733" s="1"/>
      <c r="V733" s="1"/>
      <c r="W733" s="1"/>
      <c r="X733" s="1"/>
      <c r="Y733" s="1"/>
    </row>
    <row r="734" spans="17:25" x14ac:dyDescent="0.25">
      <c r="S734" s="1"/>
      <c r="T734" s="1"/>
      <c r="U734" s="1"/>
      <c r="V734" s="1"/>
      <c r="W734" s="1"/>
      <c r="X734" s="1"/>
      <c r="Y734" s="1"/>
    </row>
    <row r="735" spans="17:25" x14ac:dyDescent="0.25">
      <c r="S735" s="1"/>
      <c r="T735" s="1"/>
      <c r="U735" s="1"/>
      <c r="V735" s="1"/>
      <c r="W735" s="1"/>
      <c r="X735" s="1"/>
      <c r="Y735" s="1"/>
    </row>
    <row r="736" spans="17:25" x14ac:dyDescent="0.25">
      <c r="S736" s="1"/>
      <c r="T736" s="1"/>
      <c r="U736" s="1"/>
      <c r="V736" s="1"/>
      <c r="W736" s="1"/>
      <c r="X736" s="1"/>
      <c r="Y736" s="1"/>
    </row>
    <row r="737" spans="18:25" x14ac:dyDescent="0.25">
      <c r="S737" s="1"/>
      <c r="T737" s="1"/>
      <c r="U737" s="1"/>
      <c r="V737" s="1"/>
      <c r="W737" s="1"/>
      <c r="X737" s="1"/>
      <c r="Y737" s="1"/>
    </row>
    <row r="738" spans="18:25" x14ac:dyDescent="0.25">
      <c r="S738" s="1"/>
      <c r="T738" s="1"/>
      <c r="U738" s="1"/>
      <c r="V738" s="1"/>
      <c r="W738" s="1"/>
      <c r="X738" s="1"/>
      <c r="Y738" s="1"/>
    </row>
    <row r="748" spans="18:25" ht="15.75" thickBot="1" x14ac:dyDescent="0.3">
      <c r="R748" s="14" t="s">
        <v>385</v>
      </c>
    </row>
    <row r="749" spans="18:25" x14ac:dyDescent="0.25">
      <c r="R749" s="5" t="s">
        <v>15</v>
      </c>
      <c r="S749" s="5"/>
      <c r="T749" s="5"/>
      <c r="U749" s="5">
        <v>1.3</v>
      </c>
      <c r="V749" s="5">
        <v>1.21</v>
      </c>
      <c r="W749" s="5"/>
      <c r="X749" s="6"/>
    </row>
    <row r="750" spans="18:25" ht="15.75" thickBot="1" x14ac:dyDescent="0.3">
      <c r="R750" s="354" t="s">
        <v>16</v>
      </c>
      <c r="S750" s="8">
        <v>0</v>
      </c>
      <c r="T750" s="8">
        <v>0.28999999999999998</v>
      </c>
      <c r="U750" s="9">
        <v>0.3</v>
      </c>
      <c r="V750" s="9">
        <v>0.69</v>
      </c>
      <c r="W750" s="10">
        <v>0.7</v>
      </c>
      <c r="X750" s="11">
        <v>1</v>
      </c>
      <c r="Y750" s="1"/>
    </row>
    <row r="751" spans="18:25" x14ac:dyDescent="0.25">
      <c r="Y751" s="1"/>
    </row>
    <row r="752" spans="18:25" x14ac:dyDescent="0.25">
      <c r="R752" s="13"/>
      <c r="S752" s="166" t="s">
        <v>212</v>
      </c>
      <c r="T752" s="166"/>
      <c r="Y752" s="1"/>
    </row>
    <row r="753" spans="18:26" x14ac:dyDescent="0.25">
      <c r="R753" s="280" t="s">
        <v>133</v>
      </c>
      <c r="S753" s="13">
        <v>-4.3330000000000002</v>
      </c>
      <c r="T753" s="13"/>
      <c r="Y753" s="1"/>
    </row>
    <row r="754" spans="18:26" x14ac:dyDescent="0.25">
      <c r="R754" s="280" t="s">
        <v>134</v>
      </c>
      <c r="S754" s="13">
        <v>5.9333</v>
      </c>
      <c r="T754" s="13"/>
      <c r="Y754" s="1"/>
    </row>
    <row r="755" spans="18:26" x14ac:dyDescent="0.25">
      <c r="R755" s="13"/>
      <c r="S755" s="13"/>
      <c r="T755" s="92"/>
      <c r="Y755" s="1"/>
    </row>
    <row r="756" spans="18:26" x14ac:dyDescent="0.25">
      <c r="S756" s="1"/>
      <c r="T756" s="1"/>
      <c r="U756" s="1"/>
      <c r="V756" s="1"/>
      <c r="W756" s="1"/>
      <c r="X756" s="1"/>
      <c r="Y756" s="2"/>
    </row>
    <row r="757" spans="18:26" x14ac:dyDescent="0.25">
      <c r="S757" s="1"/>
      <c r="T757" s="1"/>
      <c r="U757" s="1"/>
      <c r="V757" s="1"/>
      <c r="W757" s="1"/>
      <c r="X757" s="1"/>
    </row>
    <row r="758" spans="18:26" x14ac:dyDescent="0.25">
      <c r="S758" s="1"/>
      <c r="T758" s="1"/>
      <c r="U758" s="1"/>
      <c r="V758" s="1"/>
      <c r="W758" s="1"/>
      <c r="X758" s="1"/>
    </row>
    <row r="759" spans="18:26" x14ac:dyDescent="0.25">
      <c r="S759" s="1"/>
      <c r="T759" s="1"/>
      <c r="U759" s="1"/>
      <c r="V759" s="1"/>
      <c r="W759" s="1"/>
      <c r="X759" s="1"/>
    </row>
    <row r="760" spans="18:26" x14ac:dyDescent="0.25">
      <c r="S760" s="1"/>
      <c r="T760" s="1"/>
      <c r="U760" s="1"/>
      <c r="V760" s="1"/>
      <c r="W760" s="1"/>
      <c r="X760" s="1"/>
      <c r="Z760" s="262"/>
    </row>
    <row r="761" spans="18:26" x14ac:dyDescent="0.25">
      <c r="S761" s="1"/>
      <c r="T761" s="1"/>
      <c r="U761" s="1"/>
      <c r="V761" s="1"/>
      <c r="W761" s="1"/>
      <c r="X761" s="1"/>
      <c r="Z761" s="262"/>
    </row>
    <row r="762" spans="18:26" x14ac:dyDescent="0.25">
      <c r="S762" s="1"/>
      <c r="T762" s="1"/>
      <c r="U762" s="1"/>
      <c r="V762" s="1"/>
      <c r="W762" s="1"/>
      <c r="X762" s="1"/>
      <c r="Z762" s="355"/>
    </row>
    <row r="763" spans="18:26" x14ac:dyDescent="0.25">
      <c r="S763" s="1"/>
      <c r="T763" s="1"/>
      <c r="U763" s="1"/>
      <c r="V763" s="1"/>
      <c r="W763" s="1"/>
      <c r="X763" s="1"/>
      <c r="Z763" s="355"/>
    </row>
    <row r="764" spans="18:26" x14ac:dyDescent="0.25">
      <c r="S764" s="1"/>
      <c r="T764" s="1"/>
      <c r="U764" s="1"/>
      <c r="V764" s="1"/>
      <c r="W764" s="1"/>
      <c r="X764" s="1"/>
      <c r="Z764" s="262"/>
    </row>
    <row r="765" spans="18:26" x14ac:dyDescent="0.25">
      <c r="S765" s="1"/>
      <c r="T765" s="1"/>
      <c r="U765" s="1"/>
      <c r="V765" s="1"/>
      <c r="W765" s="1"/>
      <c r="X765" s="1"/>
      <c r="Z765" s="262"/>
    </row>
    <row r="766" spans="18:26" x14ac:dyDescent="0.25">
      <c r="S766" s="1"/>
      <c r="T766" s="1"/>
      <c r="U766" s="1"/>
      <c r="V766" s="1"/>
      <c r="W766" s="1"/>
      <c r="X766" s="1"/>
      <c r="Z766" s="262"/>
    </row>
    <row r="767" spans="18:26" x14ac:dyDescent="0.25">
      <c r="S767" s="1"/>
      <c r="T767" s="1"/>
      <c r="U767" s="1"/>
      <c r="V767" s="1"/>
      <c r="W767" s="1"/>
      <c r="X767" s="1"/>
      <c r="Z767" s="262"/>
    </row>
    <row r="768" spans="18:26" x14ac:dyDescent="0.25">
      <c r="S768" s="1"/>
      <c r="T768" s="1"/>
      <c r="U768" s="1"/>
      <c r="V768" s="1"/>
      <c r="W768" s="1"/>
      <c r="X768" s="1"/>
      <c r="Z768" s="355"/>
    </row>
    <row r="769" spans="19:26" x14ac:dyDescent="0.25">
      <c r="S769" s="1"/>
      <c r="T769" s="1"/>
      <c r="U769" s="1"/>
      <c r="V769" s="1"/>
      <c r="W769" s="1"/>
      <c r="X769" s="1"/>
      <c r="Z769" s="355"/>
    </row>
    <row r="770" spans="19:26" x14ac:dyDescent="0.25">
      <c r="Z770" s="262"/>
    </row>
    <row r="771" spans="19:26" x14ac:dyDescent="0.25">
      <c r="Z771" s="262"/>
    </row>
    <row r="772" spans="19:26" x14ac:dyDescent="0.25">
      <c r="Z772" s="262"/>
    </row>
    <row r="773" spans="19:26" x14ac:dyDescent="0.25">
      <c r="Z773" s="262"/>
    </row>
    <row r="774" spans="19:26" x14ac:dyDescent="0.25">
      <c r="Z774" s="355"/>
    </row>
    <row r="775" spans="19:26" x14ac:dyDescent="0.25">
      <c r="Z775" s="355"/>
    </row>
    <row r="776" spans="19:26" x14ac:dyDescent="0.25">
      <c r="Z776" s="262"/>
    </row>
    <row r="777" spans="19:26" x14ac:dyDescent="0.25">
      <c r="Z777" s="262"/>
    </row>
    <row r="778" spans="19:26" x14ac:dyDescent="0.25">
      <c r="Z778" s="262"/>
    </row>
    <row r="779" spans="19:26" x14ac:dyDescent="0.25">
      <c r="Z779" s="262"/>
    </row>
    <row r="780" spans="19:26" x14ac:dyDescent="0.25">
      <c r="Z780" s="262"/>
    </row>
    <row r="781" spans="19:26" x14ac:dyDescent="0.25">
      <c r="Z781" s="262"/>
    </row>
    <row r="782" spans="19:26" x14ac:dyDescent="0.25">
      <c r="Z782" s="262"/>
    </row>
    <row r="783" spans="19:26" x14ac:dyDescent="0.25">
      <c r="Z783" s="262"/>
    </row>
    <row r="784" spans="19:26" x14ac:dyDescent="0.25">
      <c r="Z784" s="262"/>
    </row>
    <row r="785" spans="26:26" x14ac:dyDescent="0.25">
      <c r="Z785" s="262"/>
    </row>
    <row r="786" spans="26:26" x14ac:dyDescent="0.25">
      <c r="Z786" s="262"/>
    </row>
    <row r="787" spans="26:26" x14ac:dyDescent="0.25">
      <c r="Z787" s="262"/>
    </row>
    <row r="791" spans="26:26" x14ac:dyDescent="0.25">
      <c r="Z791" s="262"/>
    </row>
    <row r="792" spans="26:26" x14ac:dyDescent="0.25">
      <c r="Z792" s="262"/>
    </row>
    <row r="794" spans="26:26" x14ac:dyDescent="0.25">
      <c r="Z794" s="262"/>
    </row>
    <row r="795" spans="26:26" x14ac:dyDescent="0.25">
      <c r="Z795" s="262"/>
    </row>
    <row r="1002" spans="26:26" x14ac:dyDescent="0.25">
      <c r="Z1002" s="262"/>
    </row>
    <row r="1003" spans="26:26" x14ac:dyDescent="0.25">
      <c r="Z1003" s="262"/>
    </row>
    <row r="1004" spans="26:26" x14ac:dyDescent="0.25">
      <c r="Z1004" s="262"/>
    </row>
    <row r="1005" spans="26:26" x14ac:dyDescent="0.25">
      <c r="Z1005" s="262"/>
    </row>
    <row r="1006" spans="26:26" x14ac:dyDescent="0.25">
      <c r="Z1006" s="262"/>
    </row>
    <row r="1007" spans="26:26" x14ac:dyDescent="0.25">
      <c r="Z1007" s="262"/>
    </row>
    <row r="1008" spans="26:26" x14ac:dyDescent="0.25">
      <c r="Z1008" s="262"/>
    </row>
    <row r="1009" spans="26:26" x14ac:dyDescent="0.25">
      <c r="Z1009" s="262"/>
    </row>
    <row r="1010" spans="26:26" x14ac:dyDescent="0.25">
      <c r="Z1010" s="262"/>
    </row>
    <row r="1011" spans="26:26" x14ac:dyDescent="0.25">
      <c r="Z1011" s="262"/>
    </row>
    <row r="1012" spans="26:26" x14ac:dyDescent="0.25">
      <c r="Z1012" s="262"/>
    </row>
    <row r="1013" spans="26:26" x14ac:dyDescent="0.25">
      <c r="Z1013" s="262"/>
    </row>
    <row r="1014" spans="26:26" x14ac:dyDescent="0.25">
      <c r="Z1014" s="262"/>
    </row>
  </sheetData>
  <sheetProtection algorithmName="SHA-512" hashValue="7XD3QqfCc6t1pHy08GRHWUZijfXpRt9eb9/Gyl/wrsi+hPBZTc8/6tzU7fkG87GBy8mALnkrTaWWz1d/scj8nw==" saltValue="dCohVrQ+1q52GghUMr+5nQ==" spinCount="100000" sheet="1" objects="1" scenarios="1"/>
  <mergeCells count="32">
    <mergeCell ref="AF573:AG573"/>
    <mergeCell ref="AH573:AJ573"/>
    <mergeCell ref="AC573:AD573"/>
    <mergeCell ref="AF423:AI423"/>
    <mergeCell ref="AF461:AH461"/>
    <mergeCell ref="AE498:AF498"/>
    <mergeCell ref="AC498:AD498"/>
    <mergeCell ref="AF535:AI535"/>
    <mergeCell ref="AK5:AQ6"/>
    <mergeCell ref="AB51:AE51"/>
    <mergeCell ref="AA5:AH6"/>
    <mergeCell ref="R688:R689"/>
    <mergeCell ref="R519:R520"/>
    <mergeCell ref="R554:R555"/>
    <mergeCell ref="R655:R656"/>
    <mergeCell ref="R588:R589"/>
    <mergeCell ref="AE88:AF88"/>
    <mergeCell ref="AG88:AH88"/>
    <mergeCell ref="AD124:AE124"/>
    <mergeCell ref="AF124:AG124"/>
    <mergeCell ref="AF303:AI303"/>
    <mergeCell ref="AF160:AI160"/>
    <mergeCell ref="AF266:AI266"/>
    <mergeCell ref="AD194:AE194"/>
    <mergeCell ref="B5:H6"/>
    <mergeCell ref="C116:E116"/>
    <mergeCell ref="J5:P6"/>
    <mergeCell ref="K47:L47"/>
    <mergeCell ref="R385:R386"/>
    <mergeCell ref="R5:Y6"/>
    <mergeCell ref="K82:L82"/>
    <mergeCell ref="R319:R320"/>
  </mergeCells>
  <printOptions gridLines="1"/>
  <pageMargins left="0.7" right="0.7" top="0.75" bottom="0.75" header="0.3" footer="0.3"/>
  <pageSetup scale="20" fitToWidth="3" fitToHeight="0" orientation="portrait" r:id="rId1"/>
  <rowBreaks count="5" manualBreakCount="5">
    <brk id="166" max="16383" man="1"/>
    <brk id="210" max="16383" man="1"/>
    <brk id="361" max="16383" man="1"/>
    <brk id="518" max="16383" man="1"/>
    <brk id="677" max="16383" man="1"/>
  </rowBreaks>
  <colBreaks count="2" manualBreakCount="2">
    <brk id="16" max="1048575" man="1"/>
    <brk id="34"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33"/>
  <sheetViews>
    <sheetView showGridLines="0" view="pageBreakPreview" topLeftCell="B82" zoomScale="85" zoomScaleNormal="100" zoomScaleSheetLayoutView="85" zoomScalePageLayoutView="55" workbookViewId="0">
      <selection activeCell="E67" sqref="E67:E71"/>
    </sheetView>
  </sheetViews>
  <sheetFormatPr defaultColWidth="8.85546875" defaultRowHeight="15" x14ac:dyDescent="0.25"/>
  <cols>
    <col min="1" max="2" width="35.85546875" style="14" bestFit="1" customWidth="1"/>
    <col min="3" max="4" width="24" style="14" customWidth="1"/>
    <col min="5" max="5" width="18.5703125" style="14" customWidth="1"/>
    <col min="6" max="6" width="12.5703125" style="14" customWidth="1"/>
    <col min="7" max="7" width="14.42578125" style="14" customWidth="1"/>
    <col min="8" max="8" width="14.5703125" style="14" customWidth="1"/>
    <col min="9" max="9" width="19.42578125" style="14" bestFit="1" customWidth="1"/>
    <col min="10" max="10" width="10.140625" style="14" customWidth="1"/>
    <col min="11" max="11" width="19.42578125" style="14" bestFit="1" customWidth="1"/>
    <col min="12" max="12" width="18.5703125" style="14" customWidth="1"/>
    <col min="13" max="13" width="13.5703125" style="14" customWidth="1"/>
    <col min="14" max="16384" width="8.85546875" style="14"/>
  </cols>
  <sheetData>
    <row r="1" spans="1:15" ht="21" x14ac:dyDescent="0.35">
      <c r="A1" s="450" t="s">
        <v>169</v>
      </c>
      <c r="B1" s="451"/>
      <c r="C1" s="451"/>
      <c r="D1" s="451"/>
      <c r="E1" s="451"/>
      <c r="F1" s="452"/>
      <c r="G1" s="450" t="s">
        <v>18</v>
      </c>
      <c r="H1" s="451"/>
      <c r="I1" s="451"/>
      <c r="J1" s="451"/>
      <c r="K1" s="452"/>
      <c r="L1" s="21"/>
    </row>
    <row r="2" spans="1:15" ht="15.75" x14ac:dyDescent="0.25">
      <c r="A2" s="176" t="s">
        <v>1</v>
      </c>
      <c r="B2" s="176" t="s">
        <v>2</v>
      </c>
      <c r="C2" s="498" t="s">
        <v>3</v>
      </c>
      <c r="D2" s="573"/>
      <c r="E2" s="176" t="s">
        <v>15</v>
      </c>
      <c r="F2" s="176" t="s">
        <v>16</v>
      </c>
      <c r="G2" s="176" t="s">
        <v>19</v>
      </c>
      <c r="H2" s="176" t="s">
        <v>20</v>
      </c>
      <c r="I2" s="176" t="s">
        <v>20</v>
      </c>
      <c r="J2" s="176" t="s">
        <v>21</v>
      </c>
      <c r="K2" s="60" t="s">
        <v>21</v>
      </c>
      <c r="L2" s="21"/>
    </row>
    <row r="3" spans="1:15" ht="15.75" x14ac:dyDescent="0.25">
      <c r="A3" s="453" t="s">
        <v>68</v>
      </c>
      <c r="B3" s="276" t="s">
        <v>99</v>
      </c>
      <c r="C3" s="62" t="s">
        <v>421</v>
      </c>
      <c r="D3" s="62"/>
      <c r="E3" s="202"/>
      <c r="F3" s="173" t="str">
        <f>IF(E3="","",IF(E3&gt;78,0,IF(E3&lt;30,1,ROUND('Reference Standards'!C$14*E3^2+'Reference Standards'!C$15*E3+'Reference Standards'!C$16,2))))</f>
        <v/>
      </c>
      <c r="G3" s="101" t="str">
        <f>IFERROR(AVERAGE(F3),"")</f>
        <v/>
      </c>
      <c r="H3" s="460" t="str">
        <f>IFERROR(ROUND(AVERAGE(G3:G7),2),"")</f>
        <v/>
      </c>
      <c r="I3" s="572" t="str">
        <f>IF(H3="","",IF(H3&gt;0.69,"Functioning",IF(H3&gt;0.29,"Functioning At Risk",IF(H3&gt;-1,"Not Functioning"))))</f>
        <v/>
      </c>
      <c r="J3" s="523" t="str">
        <f>IF(AND(H3="",H8="",H10="",H29="",H33=""),"",ROUND((IF(H3="",0,H3)*0.2)+(IF(H8="",0,H8)*0.2)+(IF(H10="",0,H10)*0.2)+(IF(H29="",0,H29)*0.2)+(IF(H33="",0,H33)*0.2),2))</f>
        <v/>
      </c>
      <c r="K3" s="523" t="str">
        <f>IF(J3="","",IF(J3&lt;0.3, "Not Functioning",IF(OR(H3&lt;0.7,H8&lt;0.7,H10&lt;0.7,H29&lt;0.7,H33&lt;0.7),"Functioning At Risk",IF(J3&lt;0.7,"Functioning At Risk","Functioning"))))</f>
        <v/>
      </c>
      <c r="L3" s="21"/>
      <c r="N3" s="19"/>
    </row>
    <row r="4" spans="1:15" ht="15.75" x14ac:dyDescent="0.25">
      <c r="A4" s="454"/>
      <c r="B4" s="541" t="s">
        <v>154</v>
      </c>
      <c r="C4" s="170" t="s">
        <v>202</v>
      </c>
      <c r="D4" s="169"/>
      <c r="E4" s="167"/>
      <c r="F4" s="173" t="str">
        <f>IF(E4="","",IF(E4&gt;=1,1,IF(E4&lt;=0,0,ROUND(E4,2))))</f>
        <v/>
      </c>
      <c r="G4" s="544" t="str">
        <f>IFERROR(AVERAGE(F4:F7),"")</f>
        <v/>
      </c>
      <c r="H4" s="461"/>
      <c r="I4" s="572"/>
      <c r="J4" s="523"/>
      <c r="K4" s="523"/>
      <c r="L4" s="21"/>
      <c r="N4" s="19"/>
    </row>
    <row r="5" spans="1:15" ht="15.75" x14ac:dyDescent="0.25">
      <c r="A5" s="454"/>
      <c r="B5" s="542"/>
      <c r="C5" s="171" t="s">
        <v>155</v>
      </c>
      <c r="D5" s="62"/>
      <c r="E5" s="202"/>
      <c r="F5" s="63" t="str">
        <f>IF(E5="","",IF(E5&gt;3,0,IF(E5=0,1,ROUND('Reference Standards'!C$49*E5+'Reference Standards'!C$50,2))))</f>
        <v/>
      </c>
      <c r="G5" s="545"/>
      <c r="H5" s="461"/>
      <c r="I5" s="572"/>
      <c r="J5" s="523"/>
      <c r="K5" s="523"/>
      <c r="L5" s="21"/>
      <c r="N5" s="19"/>
    </row>
    <row r="6" spans="1:15" ht="15.75" x14ac:dyDescent="0.25">
      <c r="A6" s="454"/>
      <c r="B6" s="542"/>
      <c r="C6" s="171" t="s">
        <v>429</v>
      </c>
      <c r="D6" s="62"/>
      <c r="E6" s="202"/>
      <c r="F6" s="63" t="str">
        <f>IF(E6="","",IF(E6&gt;=30,1,ROUND(E6^2*'Reference Standards'!$C$82+E6*'Reference Standards'!$C$83+'Reference Standards'!$C$84,2)))</f>
        <v/>
      </c>
      <c r="G6" s="545"/>
      <c r="H6" s="461"/>
      <c r="I6" s="572"/>
      <c r="J6" s="523"/>
      <c r="K6" s="523"/>
      <c r="L6" s="21"/>
      <c r="N6" s="19"/>
    </row>
    <row r="7" spans="1:15" ht="15.75" x14ac:dyDescent="0.25">
      <c r="A7" s="454"/>
      <c r="B7" s="543"/>
      <c r="C7" s="172" t="s">
        <v>391</v>
      </c>
      <c r="D7" s="64"/>
      <c r="E7" s="203"/>
      <c r="F7" s="168" t="str">
        <f>IF(E7="","",IF('Quantification Tool'!B$16="Sandy",IF(E7&gt;1.94,0,IF(E7&lt;1.45,1,ROUND(E7*'Reference Standards'!$C$118+'Reference Standards'!$C$119,2))),IF('Quantification Tool'!B$16="Silty",IF(E7&gt;1.83,0,IF(E7&lt;1.21,1,ROUND(E7*'Reference Standards'!$D$118+'Reference Standards'!$D$119,2))),IF('Quantification Tool'!B$16="Clayey",IF(E7&gt;1.74,0,IF(E7&lt;0.82,1,ROUND(E7*'Reference Standards'!$E$118+'Reference Standards'!$E$119,2)))))))</f>
        <v/>
      </c>
      <c r="G7" s="546"/>
      <c r="H7" s="461"/>
      <c r="I7" s="572"/>
      <c r="J7" s="523"/>
      <c r="K7" s="523"/>
      <c r="L7" s="21"/>
      <c r="N7" s="19"/>
      <c r="O7" s="19"/>
    </row>
    <row r="8" spans="1:15" ht="15.75" x14ac:dyDescent="0.25">
      <c r="A8" s="547" t="s">
        <v>6</v>
      </c>
      <c r="B8" s="547" t="s">
        <v>7</v>
      </c>
      <c r="C8" s="66" t="s">
        <v>8</v>
      </c>
      <c r="D8" s="66"/>
      <c r="E8" s="202"/>
      <c r="F8" s="67" t="str">
        <f>IF(E8="","",ROUND(IF(E8&gt;1.6,0,IF(E8&lt;=1,1,E8^2*'Reference Standards'!K$14+E8*'Reference Standards'!K$15+'Reference Standards'!K$16)),2))</f>
        <v/>
      </c>
      <c r="G8" s="504" t="str">
        <f>IFERROR(AVERAGE(F8:F9),"")</f>
        <v/>
      </c>
      <c r="H8" s="504" t="str">
        <f>IFERROR(ROUND(AVERAGE(G8),2),"")</f>
        <v/>
      </c>
      <c r="I8" s="574" t="str">
        <f>IF(H8="","",IF(H8&gt;0.69,"Functioning",IF(H8&gt;0.29,"Functioning At Risk",IF(H8&gt;-1,"Not Functioning"))))</f>
        <v/>
      </c>
      <c r="J8" s="523"/>
      <c r="K8" s="523"/>
      <c r="L8" s="21"/>
      <c r="N8" s="19"/>
      <c r="O8" s="19"/>
    </row>
    <row r="9" spans="1:15" ht="15.75" x14ac:dyDescent="0.25">
      <c r="A9" s="549"/>
      <c r="B9" s="548"/>
      <c r="C9" s="66" t="s">
        <v>9</v>
      </c>
      <c r="D9" s="66"/>
      <c r="E9" s="203"/>
      <c r="F9" s="67" t="str">
        <f>IF(E9="","",(IF(OR('Quantification Tool'!B$6="A",'Quantification Tool'!B$6="B",'Quantification Tool'!$B$6="Bc"),IF(E9&lt;1.2,0,IF(E9&gt;=2.2,1,ROUND(IF(E9&lt;1.4,E9*'Reference Standards'!$K$84+'Reference Standards'!$K$85,E9*'Reference Standards'!$L$84+'Reference Standards'!$L$85),2))),IF(OR('Quantification Tool'!B$6="C",'Quantification Tool'!B$6="E"),IF(E9&lt;2,0,IF(E9&gt;=5,1,ROUND(IF(E9&lt;2.4,E9*'Reference Standards'!$L$49+'Reference Standards'!$L$50,E9*'Reference Standards'!$K$49+'Reference Standards'!$K$50),2)))))))</f>
        <v/>
      </c>
      <c r="G9" s="533"/>
      <c r="H9" s="505"/>
      <c r="I9" s="575"/>
      <c r="J9" s="523"/>
      <c r="K9" s="523"/>
      <c r="L9" s="21"/>
      <c r="N9" s="19"/>
      <c r="O9" s="19"/>
    </row>
    <row r="10" spans="1:15" ht="15.75" x14ac:dyDescent="0.25">
      <c r="A10" s="464" t="s">
        <v>27</v>
      </c>
      <c r="B10" s="553" t="s">
        <v>28</v>
      </c>
      <c r="C10" s="74" t="s">
        <v>422</v>
      </c>
      <c r="D10" s="308"/>
      <c r="E10" s="75"/>
      <c r="F10" s="310" t="str">
        <f>IF(E10="","",IF(E10&gt;700,1,IF(E10&lt;300,ROUND('Reference Standards'!$S$14*(E10^2)+'Reference Standards'!$S$15*E10+'Reference Standards'!$S$16,2),ROUND('Reference Standards'!$T$15*E10+'Reference Standards'!$T$16,2))))</f>
        <v/>
      </c>
      <c r="G10" s="506" t="str">
        <f>IFERROR(AVERAGE(F10:F11),"")</f>
        <v/>
      </c>
      <c r="H10" s="534" t="str">
        <f>IFERROR(ROUND(AVERAGE(G10:G28),2),"")</f>
        <v/>
      </c>
      <c r="I10" s="523" t="str">
        <f>IF(H10="","",IF(H10&gt;0.69,"Functioning",IF(H10&gt;0.29,"Functioning At Risk",IF(H10&gt;-1,"Not Functioning"))))</f>
        <v/>
      </c>
      <c r="J10" s="523"/>
      <c r="K10" s="523"/>
      <c r="L10" s="21"/>
      <c r="N10" s="19"/>
      <c r="O10" s="19"/>
    </row>
    <row r="11" spans="1:15" ht="15.75" x14ac:dyDescent="0.25">
      <c r="A11" s="465"/>
      <c r="B11" s="554"/>
      <c r="C11" s="77" t="s">
        <v>394</v>
      </c>
      <c r="D11" s="309"/>
      <c r="E11" s="65"/>
      <c r="F11" s="311" t="str">
        <f>IF(E11="","",IF(E11&gt;=30,1,IF(E11&lt;16,ROUND('Reference Standards'!$S$47*(E11^2)+'Reference Standards'!$S$48*E11+'Reference Standards'!$S$49,2),ROUND('Reference Standards'!$T$48*E11+'Reference Standards'!$T$49,2))))</f>
        <v/>
      </c>
      <c r="G11" s="508"/>
      <c r="H11" s="534"/>
      <c r="I11" s="523"/>
      <c r="J11" s="523"/>
      <c r="K11" s="523"/>
      <c r="L11" s="21"/>
      <c r="N11" s="19"/>
      <c r="O11" s="19"/>
    </row>
    <row r="12" spans="1:15" ht="15.75" x14ac:dyDescent="0.25">
      <c r="A12" s="465"/>
      <c r="B12" s="465" t="s">
        <v>51</v>
      </c>
      <c r="C12" s="71" t="s">
        <v>92</v>
      </c>
      <c r="D12" s="71"/>
      <c r="E12" s="167"/>
      <c r="F12" s="72" t="str">
        <f>IF(E12="","",ROUND(IF(E12&gt;0.7,0,IF(E12&lt;=0.1,1,E12^3*'Reference Standards'!S$81+E12^2*'Reference Standards'!S$82+E12*'Reference Standards'!S$83+'Reference Standards'!S$84)),2))</f>
        <v/>
      </c>
      <c r="G12" s="551" t="str">
        <f>IFERROR(IF(E12="",AVERAGE(F13:F14),IF(E13="",F12,MAX(F12,AVERAGE(F13:F14)))),"")</f>
        <v/>
      </c>
      <c r="H12" s="535"/>
      <c r="I12" s="523"/>
      <c r="J12" s="523"/>
      <c r="K12" s="523"/>
      <c r="L12" s="21"/>
      <c r="N12" s="19"/>
      <c r="O12" s="19"/>
    </row>
    <row r="13" spans="1:15" ht="15.75" x14ac:dyDescent="0.25">
      <c r="A13" s="465"/>
      <c r="B13" s="465"/>
      <c r="C13" s="71" t="s">
        <v>52</v>
      </c>
      <c r="D13" s="71"/>
      <c r="E13" s="202"/>
      <c r="F13" s="72" t="str">
        <f>IF(E13="","",IF(OR(E13="Ex/Ex",E13="Ex/VH"),0, IF(OR(E13="Ex/H",E13="VH/Ex",E13="VH/VH", E13="H/Ex",E13="H/VH",E13="M/Ex"),0.1,IF(OR(E13="Ex/M",E13="VH/H",E13="H/H", E13="M/VH"),0.2, IF(OR(E13="Ex/L",E13="VH/M",E13="H/M", E13="M/H",E13="L/Ex"),0.3, IF(OR(E13="Ex/VL",E13="VH/L",E13="H/L"),0.4, IF(OR(E13="VH/VL",E13="H/VL",E13="M/M", E13="L/VH"),0.5, IF(OR(E13="M/L",E13="L/H"),0.6, IF(OR(E13="M/VL",E13="L/M"),0.7, IF(OR(E13="L/L",E13="L/VL"),1))))))))))</f>
        <v/>
      </c>
      <c r="G13" s="551"/>
      <c r="H13" s="535"/>
      <c r="I13" s="523"/>
      <c r="J13" s="523"/>
      <c r="K13" s="523"/>
      <c r="L13" s="21"/>
      <c r="N13" s="19"/>
      <c r="O13" s="19"/>
    </row>
    <row r="14" spans="1:15" ht="15.75" x14ac:dyDescent="0.25">
      <c r="A14" s="465"/>
      <c r="B14" s="466"/>
      <c r="C14" s="73" t="s">
        <v>102</v>
      </c>
      <c r="D14" s="73"/>
      <c r="E14" s="203"/>
      <c r="F14" s="80" t="str">
        <f>IF(E14="","",ROUND(IF(E14&gt;40,0,IF(E14&lt;5,1,E14^3*'Reference Standards'!S$116+E14^2*'Reference Standards'!S$117+E14*'Reference Standards'!S$118+'Reference Standards'!S$119)),2))</f>
        <v/>
      </c>
      <c r="G14" s="551"/>
      <c r="H14" s="535"/>
      <c r="I14" s="523"/>
      <c r="J14" s="523"/>
      <c r="K14" s="523"/>
      <c r="L14" s="21"/>
      <c r="N14" s="19"/>
      <c r="O14" s="19"/>
    </row>
    <row r="15" spans="1:15" ht="15.75" x14ac:dyDescent="0.25">
      <c r="A15" s="465"/>
      <c r="B15" s="465" t="s">
        <v>53</v>
      </c>
      <c r="C15" s="74" t="s">
        <v>120</v>
      </c>
      <c r="D15" s="78"/>
      <c r="E15" s="167"/>
      <c r="F15" s="90" t="str">
        <f>IF(E15="","",ROUND(IF(E15&gt;90,1,E15^2*'Reference Standards'!S$151+E15*'Reference Standards'!S$152+'Reference Standards'!S$153),2))</f>
        <v/>
      </c>
      <c r="G15" s="550" t="str">
        <f>IFERROR(ROUND(AVERAGE(F15:F22),2),"")</f>
        <v/>
      </c>
      <c r="H15" s="535"/>
      <c r="I15" s="523"/>
      <c r="J15" s="523"/>
      <c r="K15" s="523"/>
      <c r="L15" s="21"/>
      <c r="N15" s="19"/>
      <c r="O15" s="19"/>
    </row>
    <row r="16" spans="1:15" ht="15.75" x14ac:dyDescent="0.25">
      <c r="A16" s="465"/>
      <c r="B16" s="465"/>
      <c r="C16" s="76" t="s">
        <v>121</v>
      </c>
      <c r="D16" s="71"/>
      <c r="E16" s="202"/>
      <c r="F16" s="72" t="str">
        <f>IF(E16="","",ROUND(IF(E16&gt;90,1,E16^2*'Reference Standards'!S$151+E16*'Reference Standards'!S$152+'Reference Standards'!S$153),2))</f>
        <v/>
      </c>
      <c r="G16" s="551"/>
      <c r="H16" s="535"/>
      <c r="I16" s="523"/>
      <c r="J16" s="523"/>
      <c r="K16" s="523"/>
      <c r="L16" s="21"/>
      <c r="N16" s="19"/>
      <c r="O16" s="19"/>
    </row>
    <row r="17" spans="1:15" ht="15.75" x14ac:dyDescent="0.25">
      <c r="A17" s="465"/>
      <c r="B17" s="465"/>
      <c r="C17" s="76" t="s">
        <v>430</v>
      </c>
      <c r="D17" s="71"/>
      <c r="E17" s="202"/>
      <c r="F17" s="72" t="str">
        <f>IF(E17="","",ROUND(IF(OR('Quantification Tool'!B$6="A",'Quantification Tool'!B$6="B",'Quantification Tool'!B$6="Bc"),IF(E17&gt;=50,1, IF(E17&lt;30, E17*'Reference Standards'!#REF!+'Reference Standards'!#REF!, E17*'Reference Standards'!#REF!+'Reference Standards'!#REF!)), IF(E17&gt;=150,1,IF(E17&lt;48, E17^2*'Reference Standards'!S$220+E17*'Reference Standards'!S$221+'Reference Standards'!S$222, E17*'Reference Standards'!T$220+'Reference Standards'!T$221))),2))</f>
        <v/>
      </c>
      <c r="G17" s="551"/>
      <c r="H17" s="535"/>
      <c r="I17" s="523"/>
      <c r="J17" s="523"/>
      <c r="K17" s="523"/>
      <c r="L17" s="21"/>
      <c r="N17" s="19"/>
      <c r="O17" s="19"/>
    </row>
    <row r="18" spans="1:15" ht="15.75" x14ac:dyDescent="0.25">
      <c r="A18" s="465"/>
      <c r="B18" s="465"/>
      <c r="C18" s="76" t="s">
        <v>431</v>
      </c>
      <c r="D18" s="71"/>
      <c r="E18" s="202"/>
      <c r="F18" s="72" t="str">
        <f>IF(E18="","",ROUND(IF(OR('Quantification Tool'!B$6="A",'Quantification Tool'!B$6="B",'Quantification Tool'!B$6="Bc"),IF(E18&gt;=50,1, IF(E18&lt;30, E18*'Reference Standards'!#REF!+'Reference Standards'!#REF!, E18*'Reference Standards'!#REF!+'Reference Standards'!#REF!)), IF(E18&gt;=150,1,IF(E18&lt;45, E18^2*'Reference Standards'!S$220+E18*'Reference Standards'!S$221+'Reference Standards'!S$222, E18*'Reference Standards'!T$220+'Reference Standards'!T$221))),2))</f>
        <v/>
      </c>
      <c r="G18" s="551"/>
      <c r="H18" s="535"/>
      <c r="I18" s="523"/>
      <c r="J18" s="523"/>
      <c r="K18" s="523"/>
      <c r="L18" s="21"/>
      <c r="N18" s="19"/>
      <c r="O18" s="19"/>
    </row>
    <row r="19" spans="1:15" ht="15.75" x14ac:dyDescent="0.25">
      <c r="A19" s="465"/>
      <c r="B19" s="465"/>
      <c r="C19" s="71" t="s">
        <v>128</v>
      </c>
      <c r="D19" s="71"/>
      <c r="E19" s="202"/>
      <c r="F19" s="72" t="str">
        <f>IF(E19="","",ROUND(IF(E19&gt;100,1,E19^2*'Reference Standards'!S$185+E19*'Reference Standards'!S$186+'Reference Standards'!S$187),2))</f>
        <v/>
      </c>
      <c r="G19" s="551"/>
      <c r="H19" s="535"/>
      <c r="I19" s="523"/>
      <c r="J19" s="523"/>
      <c r="K19" s="523"/>
      <c r="L19" s="21"/>
      <c r="N19" s="19"/>
      <c r="O19" s="19"/>
    </row>
    <row r="20" spans="1:15" ht="15.75" x14ac:dyDescent="0.25">
      <c r="A20" s="465"/>
      <c r="B20" s="465"/>
      <c r="C20" s="71" t="s">
        <v>129</v>
      </c>
      <c r="D20" s="71"/>
      <c r="E20" s="202"/>
      <c r="F20" s="72" t="str">
        <f>IF(E20="","",ROUND(IF(E20&gt;100,1,E20^2*'Reference Standards'!S$185+E20*'Reference Standards'!S$186+'Reference Standards'!S$187),2))</f>
        <v/>
      </c>
      <c r="G20" s="551"/>
      <c r="H20" s="535"/>
      <c r="I20" s="523"/>
      <c r="J20" s="523"/>
      <c r="K20" s="523"/>
      <c r="L20" s="21"/>
      <c r="N20" s="19"/>
      <c r="O20" s="19"/>
    </row>
    <row r="21" spans="1:15" ht="15.75" x14ac:dyDescent="0.25">
      <c r="A21" s="465"/>
      <c r="B21" s="465"/>
      <c r="C21" s="76" t="s">
        <v>165</v>
      </c>
      <c r="D21" s="71"/>
      <c r="E21" s="202"/>
      <c r="F21" s="72" t="str">
        <f>IF(E21="","",ROUND(IF(E21&gt;=300,0.5,E21*'Reference Standards'!S$253),2))</f>
        <v/>
      </c>
      <c r="G21" s="551"/>
      <c r="H21" s="535"/>
      <c r="I21" s="523"/>
      <c r="J21" s="523"/>
      <c r="K21" s="523"/>
      <c r="L21" s="21"/>
      <c r="N21" s="19"/>
      <c r="O21" s="19"/>
    </row>
    <row r="22" spans="1:15" ht="15.75" x14ac:dyDescent="0.25">
      <c r="A22" s="465"/>
      <c r="B22" s="466"/>
      <c r="C22" s="77" t="s">
        <v>166</v>
      </c>
      <c r="D22" s="79"/>
      <c r="E22" s="202"/>
      <c r="F22" s="72" t="str">
        <f>IF(E22="","",ROUND(IF(E22&gt;=300,0.5,E22*'Reference Standards'!S$253),2))</f>
        <v/>
      </c>
      <c r="G22" s="552"/>
      <c r="H22" s="535"/>
      <c r="I22" s="523"/>
      <c r="J22" s="523"/>
      <c r="K22" s="523"/>
      <c r="L22" s="21"/>
      <c r="N22" s="19"/>
      <c r="O22" s="19"/>
    </row>
    <row r="23" spans="1:15" ht="15.75" x14ac:dyDescent="0.25">
      <c r="A23" s="465"/>
      <c r="B23" s="69" t="s">
        <v>130</v>
      </c>
      <c r="C23" s="89" t="s">
        <v>168</v>
      </c>
      <c r="D23" s="71"/>
      <c r="E23" s="53"/>
      <c r="F23" s="234" t="str">
        <f>IF(E23="","",IF('Quantification Tool'!B$9="Gravel",IF(E23&gt;0.1,1,IF(E23&lt;=0.01,0,ROUND(E23*'Reference Standards'!$S$289+'Reference Standards'!$S$290,2)))))</f>
        <v/>
      </c>
      <c r="G23" s="100" t="str">
        <f>IFERROR(AVERAGE(F23),"")</f>
        <v/>
      </c>
      <c r="H23" s="535"/>
      <c r="I23" s="523"/>
      <c r="J23" s="523"/>
      <c r="K23" s="523"/>
      <c r="L23" s="21"/>
      <c r="N23" s="19"/>
      <c r="O23" s="19"/>
    </row>
    <row r="24" spans="1:15" ht="15.75" x14ac:dyDescent="0.25">
      <c r="A24" s="465"/>
      <c r="B24" s="464" t="s">
        <v>54</v>
      </c>
      <c r="C24" s="78" t="s">
        <v>55</v>
      </c>
      <c r="D24" s="78"/>
      <c r="E24" s="209"/>
      <c r="F24" s="299" t="str">
        <f>IF(E24="","",   IF(AND('Quantification Tool'!$B$6="E",'Quantification Tool'!$B$9="Gravel"),ROUND(IF(OR(E24&lt;=2.3,E24&gt;=10.1),0,IF(E24&lt;4,E24*'Reference Standards'!$S$325+'Reference Standards'!$S$326,IF(E24&lt;=7.5,1,E24*'Reference Standards'!$T$325+'Reference Standards'!$T$326))),2),    IF(AND('Quantification Tool'!$B$6="E",'Quantification Tool'!$B$9="Sand"),ROUND(IF(OR(E24&lt;3,E24&gt;6.7),0,IF(E24&lt;=5,1,E24*'Reference Standards'!$S$357+'Reference Standards'!$S$358)),2),    IF(AND('Quantification Tool'!$B$6="C",OR('Quantification Tool'!$B$9="Gravel",'Quantification Tool'!$B$9="Sand")),ROUND(IF(OR(E24&lt;=2.3,E24&gt;=8.1),0,IF(E24&lt;4,E24*'Reference Standards'!$S$391+'Reference Standards'!$S$392,IF(E24&lt;=5.5,1,E24*'Reference Standards'!$T$391+'Reference Standards'!$T$392))),2), IF(AND(OR('Quantification Tool'!$B$6="Bc",'Quantification Tool'!$B$6="B"),'Quantification Tool'!$B$9="Gravel"),ROUND(IF(E24&gt;=7.1,0,IF(E24&gt;4.5,E24*'Reference Standards'!$S$423+'Reference Standards'!$S$424,1)),2))))))</f>
        <v/>
      </c>
      <c r="G24" s="506" t="str">
        <f>IFERROR(AVERAGE(F24:F27),"")</f>
        <v/>
      </c>
      <c r="H24" s="535"/>
      <c r="I24" s="523"/>
      <c r="J24" s="523"/>
      <c r="K24" s="523"/>
      <c r="L24" s="21"/>
      <c r="N24" s="19"/>
      <c r="O24" s="19"/>
    </row>
    <row r="25" spans="1:15" ht="15.75" x14ac:dyDescent="0.25">
      <c r="A25" s="465"/>
      <c r="B25" s="465"/>
      <c r="C25" s="71" t="s">
        <v>56</v>
      </c>
      <c r="D25" s="71"/>
      <c r="E25" s="208"/>
      <c r="F25" s="300" t="str">
        <f>IF(E25="","",IF(E25&lt;1.25,0,IF(E25&gt;=2.8,1,IF(AND(OR('Quantification Tool'!B$6="B", 'Quantification Tool'!B$6="Bc"),'Quantification Tool'!$B$9="Gravel"),ROUND(E25^2*'Reference Standards'!S$489+E25*'Reference Standards'!S$490+'Reference Standards'!S$491,2), IF(AND(OR('Quantification Tool'!B$6="C", 'Quantification Tool'!B$6="E"),OR('Quantification Tool'!$B$9="Gravel",'Quantification Tool'!$B$9="Sand")), ROUND(IF(E25&lt;=1.7,E25*'Reference Standards'!$S$457+'Reference Standards'!$S$458,E25*'Reference Standards'!$T$457+'Reference Standards'!$T$458),2)    )))))</f>
        <v/>
      </c>
      <c r="G25" s="507"/>
      <c r="H25" s="535"/>
      <c r="I25" s="523"/>
      <c r="J25" s="523"/>
      <c r="K25" s="523"/>
      <c r="L25" s="21"/>
      <c r="N25" s="19"/>
      <c r="O25" s="19"/>
    </row>
    <row r="26" spans="1:15" ht="15.75" x14ac:dyDescent="0.25">
      <c r="A26" s="465"/>
      <c r="B26" s="465"/>
      <c r="C26" s="71" t="s">
        <v>423</v>
      </c>
      <c r="D26" s="71"/>
      <c r="E26" s="208"/>
      <c r="F26" s="282" t="str">
        <f>IF(E26="","",IF(AND('Quantification Tool'!$B$6="E",OR('Quantification Tool'!$B$9="Sand",'Quantification Tool'!$B$9="Gravel")), IF(OR(E26&lt;20,E26&gt;73),0,ROUND(IF(E26&lt;25,E26*'Reference Standards'!$S$526+'Reference Standards'!$S$527,IF(E26&lt;35,1,E26^2*'Reference Standards'!$T$525+E26*'Reference Standards'!$T$526+'Reference Standards'!$T$527)),2)),  IF(AND('Quantification Tool'!$B$6="C",OR('Quantification Tool'!$B$9="Sand",'Quantification Tool'!$B$9="Gravel")), IF(OR(E26&lt;19,E26&gt;63),0,ROUND(IF(E26&lt;43,E26*'Reference Standards'!$S$560+'Reference Standards'!$S$561,IF(E26&lt;52,1,E26*'Reference Standards'!$T$560+'Reference Standards'!$T$561)),2)),IF(AND(OR('Quantification Tool'!$B$6="B",'Quantification Tool'!$B$6="Bc"),'Quantification Tool'!$B$9="Gravel"), IF(OR(E26&lt;18,E26&gt;82),0,ROUND(IF(E26&lt;30,E26^2*'Reference Standards'!$S$594+E26*'Reference Standards'!$S$595+'Reference Standards'!$S$596,IF(E26&lt;41,1,E26*'Reference Standards'!$T$595+'Reference Standards'!$T$596)),2))   ))))</f>
        <v/>
      </c>
      <c r="G26" s="507"/>
      <c r="H26" s="535"/>
      <c r="I26" s="523"/>
      <c r="J26" s="523"/>
      <c r="K26" s="523"/>
      <c r="L26" s="21"/>
      <c r="N26" s="19"/>
      <c r="O26" s="19"/>
    </row>
    <row r="27" spans="1:15" ht="15.75" x14ac:dyDescent="0.25">
      <c r="A27" s="465"/>
      <c r="B27" s="466"/>
      <c r="C27" s="76" t="s">
        <v>254</v>
      </c>
      <c r="D27" s="71"/>
      <c r="E27" s="210"/>
      <c r="F27" s="283" t="str">
        <f>IF(E27="","",IF(E27&gt;=1.6,0,IF(E27&lt;=1,1,ROUND('Reference Standards'!$S$626*E27^3+'Reference Standards'!$S$627*E27^2+'Reference Standards'!$S$628*E27+'Reference Standards'!$S$629,2))))</f>
        <v/>
      </c>
      <c r="G27" s="508"/>
      <c r="H27" s="535"/>
      <c r="I27" s="523"/>
      <c r="J27" s="523"/>
      <c r="K27" s="523"/>
      <c r="L27" s="21"/>
      <c r="N27" s="19"/>
      <c r="O27" s="19"/>
    </row>
    <row r="28" spans="1:15" ht="15.75" x14ac:dyDescent="0.25">
      <c r="A28" s="466"/>
      <c r="B28" s="277" t="s">
        <v>58</v>
      </c>
      <c r="C28" s="305" t="s">
        <v>57</v>
      </c>
      <c r="D28" s="306"/>
      <c r="E28" s="203"/>
      <c r="F28" s="80" t="str">
        <f>IF(E28="","",IF(AND('Quantification Tool'!B$6="E",'Quantification Tool'!$B$9="Sand",'Quantification Tool'!$B$17="Unconfined Alluvial"),ROUND(IF(OR(E28&gt;1.8,E28&lt;1.3),0,IF(E28&lt;=1.6,1,E28*'Reference Standards'!S$660+'Reference Standards'!S$661)),2),    IF('Quantification Tool'!$B$17="Unconfined Alluvial",ROUND(IF(OR(E28&lt;1.2, E28&gt;1.5),0,IF(E28&lt;=1.4,1,E28*'Reference Standards'!$S$693+'Reference Standards'!$S$694)),2), IF('Quantification Tool'!$B$17="Confined Alluvial",ROUND(IF(E28&lt;1.15,0,IF(E28&lt;=1.4,E28*'Reference Standards'!$S$722+'Reference Standards'!$S$723,1)),2),  IF('Quantification Tool'!$B$17="Colluvial",ROUND(IF(E28&gt;1.3,0,IF(E28&gt;1.2,E28*'Reference Standards'!$S$753+'Reference Standards'!$S$754,1)),2) )))))</f>
        <v/>
      </c>
      <c r="G28" s="102" t="str">
        <f>IFERROR(AVERAGE(F28),"")</f>
        <v/>
      </c>
      <c r="H28" s="535"/>
      <c r="I28" s="523"/>
      <c r="J28" s="523"/>
      <c r="K28" s="523"/>
      <c r="L28" s="21"/>
      <c r="N28" s="19"/>
      <c r="O28" s="19"/>
    </row>
    <row r="29" spans="1:15" ht="15.75" x14ac:dyDescent="0.25">
      <c r="A29" s="527" t="s">
        <v>61</v>
      </c>
      <c r="B29" s="83" t="s">
        <v>103</v>
      </c>
      <c r="C29" s="87" t="s">
        <v>427</v>
      </c>
      <c r="D29" s="87"/>
      <c r="E29" s="53"/>
      <c r="F29" s="82" t="str">
        <f>IF(E29="","",ROUND(IF(E29&gt;=942,0,IF(E29&lt;=487,E29*'Reference Standards'!AB$15+'Reference Standards'!AB$16,E29*'Reference Standards'!$AC$15+'Reference Standards'!$AC$16)),2))</f>
        <v/>
      </c>
      <c r="G29" s="103" t="str">
        <f>IFERROR(AVERAGE(F29),"")</f>
        <v/>
      </c>
      <c r="H29" s="555" t="str">
        <f>IFERROR(ROUND(AVERAGE(G29:G32),2),"")</f>
        <v/>
      </c>
      <c r="I29" s="569" t="str">
        <f>IF(H29="","",IF(H29&gt;0.69,"Functioning",IF(H29&gt;0.29,"Functioning At Risk",IF(H29&gt;-1,"Not Functioning"))))</f>
        <v/>
      </c>
      <c r="J29" s="523"/>
      <c r="K29" s="523"/>
      <c r="L29" s="21"/>
      <c r="O29" s="19"/>
    </row>
    <row r="30" spans="1:15" ht="15.75" x14ac:dyDescent="0.25">
      <c r="A30" s="528"/>
      <c r="B30" s="278" t="s">
        <v>476</v>
      </c>
      <c r="C30" s="81" t="s">
        <v>457</v>
      </c>
      <c r="D30" s="81"/>
      <c r="E30" s="203"/>
      <c r="F30" s="85" t="str">
        <f>IF(E30="","",IF(OR('Quantification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June")),IF(E30&gt;93,0,IF(E30&lt;13,1,ROUND('Reference Standards'!$AB$53*E30^2+'Reference Standards'!$AB$54*E30+'Reference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Tool'!$B$7="73b"),IF(E30&gt;94,0,IF(E30&lt;17,1,ROUND('Reference Standards'!$AC$53*E30^2+'Reference Standards'!$AC$54*E30+'Reference Standards'!$AC$55,2))),    IF(OR(AND(OR('Quantification Tool'!$B$7="68b",'Quantification Tool'!$B$7="71i"),'Quantification Tool'!$B$8&gt;2), 'Quantification Tool'!$B$7="71e"),IF(E30&gt;91,0,IF(E30&lt;24,1,ROUND('Reference Standards'!$AD$53*E30^2+'Reference Standards'!$AD$54*E30+'Reference Standards'!$AD$55,2))),  IF(OR(AND(OR('Quantification Tool'!$B$7="71f",'Quantification Tool'!$B$7="71g",'Quantification Tool'!$B$7="71h",'Quantification Tool'!$B$7="71i"),'Quantification Tool'!$B$8&lt;=2), AND('Quantification Tool'!$B$7="74a",'Quantification Tool'!$B$8&gt;2)),IF(E30&gt;95,0,IF(E30&lt;=36,1,ROUND('Reference Standards'!$AE$53*E30^2+'Reference Standards'!$AE$54*E30+'Reference Standards'!$AE$55,2))))))))</f>
        <v/>
      </c>
      <c r="G30" s="281" t="str">
        <f>IFERROR(AVERAGE(F30:F30),"")</f>
        <v/>
      </c>
      <c r="H30" s="556"/>
      <c r="I30" s="570"/>
      <c r="J30" s="523"/>
      <c r="K30" s="523"/>
      <c r="L30" s="21"/>
      <c r="O30" s="19"/>
    </row>
    <row r="31" spans="1:15" ht="15.75" x14ac:dyDescent="0.25">
      <c r="A31" s="528"/>
      <c r="B31" s="83" t="s">
        <v>93</v>
      </c>
      <c r="C31" s="84" t="s">
        <v>326</v>
      </c>
      <c r="D31" s="84"/>
      <c r="E31" s="202"/>
      <c r="F31" s="85" t="str">
        <f>IF(E31="","",IF(OR('Quantification Tool'!$B$7="66e",'Quantification Tool'!$B$7="66f",'Quantification Tool'!$B$7="66g"), ROUND(IF(E31&gt;=0.61,0,IF(E31&lt;=0.01,1,IF(E31&lt;=0.06,E31*'Reference Standards'!$AD$197+'Reference Standards'!$AD$198,E31^2*'Reference Standards'!$AB$196+E31*'Reference Standards'!$AB$197+'Reference Standards'!$AB$198))),2),  IF('Quantification Tool'!$B$7="68b", ROUND(IF(E31&gt;=1.1,0,IF(E31&lt;=0.17,1,IF(E31&lt;=0.22,E31*'Reference Standards'!$AE$197+'Reference Standards'!$AE$198,E31^2*'Reference Standards'!$AC$196+E31*'Reference Standards'!$AC$197+'Reference Standards'!$AC$198))),2),IF('Quantification Tool'!$B$8&lt;=2.5,   IF('Quantification Tool'!$B$7="69de",ROUND(IF(E31&gt;=0.22,0,IF(E31&lt;=0.01,1,E31^2*'Reference Standards'!$AB$90+E31*'Reference Standards'!$AB$91+'Reference Standards'!$AB$92)),2),   IF('Quantification Tool'!$B$7="68c",ROUND(IF(E31&gt;=0.87,0,IF(E31&lt;=0.01,1,E31^2*'Reference Standards'!$AC$90+E31*'Reference Standards'!$AC$91+'Reference Standards'!$AC$92)),2),   IF('Quantification Tool'!$B$7="68a",ROUND(IF(E31&gt;=0.81,0,IF(E31&lt;=0.01,1,E31^2*'Reference Standards'!$AD$90+E31*'Reference Standards'!$AD$91+'Reference Standards'!$AD$92)),2),   IF('Quantification Tool'!$B$7="65abei",ROUND(IF(E31&gt;=0.67,0,IF(E31&lt;=0.01,1,IF(E31&lt;=0.18,E31*'Reference Standards'!$AG$91+'Reference Standards'!$AG$92,E31*'Reference Standards'!$AE$91+'Reference Standards'!$AE$92))),2),   IF('Quantification Tool'!$B$7="65j",ROUND(IF(E31&gt;=0.32,0,IF(E31&lt;=0.01,1,IF(E31&lt;=0.25,E31*'Reference Standards'!$AH$91+'Reference Standards'!$AH$92,E31*'Reference Standards'!$AF$91+'Reference Standards'!$AF$92))),2),   IF('Quantification Tool'!$B$7="71f",ROUND(IF(E31&gt;=3,0,IF(E31&lt;=0,1,IF(E31&lt;=0.01,0.7,E31^2*'Reference Standards'!$AB$126+E31*'Reference Standards'!$AB$127+'Reference Standards'!$AB$128))),2),   IF('Quantification Tool'!$B$7="74a",ROUND(IF(E31&gt;=0.14,0,IF(E31&lt;=0.01,1,IF(E31&lt;=0.02,0.7,E31^2*'Reference Standards'!$AC$126+E31*'Reference Standards'!$AC$127+'Reference Standards'!$AC$128))),2),   IF(OR('Quantification Tool'!$B$7="67fhi",'Quantification Tool'!$B$7="67g"),ROUND(IF(E31&gt;=1.9,0,IF(E31&lt;=0.01,1,IF(E31&lt;=0.05,E31*'Reference Standards'!$AF$127+'Reference Standards'!$AF$128,E31^2*'Reference Standards'!$AD$126+E31*'Reference Standards'!$AD$127+'Reference Standards'!$AD$128))),2),   IF('Quantification Tool'!$B$7="73a",ROUND(IF(E31&gt;=1.44,0,IF(E31&lt;=0.01,1,IF(E31&lt;=0.12,E31*'Reference Standards'!$AG$127+'Reference Standards'!$AG$128,E31^2*'Reference Standards'!$AE$126+E31*'Reference Standards'!$AE$127+'Reference Standards'!$AE$128))),2),   IF('Quantification Tool'!$B$7="66d",ROUND(IF(E31&gt;=0.46,0,IF(E31&lt;=0.02,1,IF(E31&lt;=0.08,E31*'Reference Standards'!$AF$163+'Reference Standards'!$AF$164,E31^2*'Reference Standards'!$AB$162+E31*'Reference Standards'!$AB$163+'Reference Standards'!$AB$164))),2),   IF(OR('Quantification Tool'!$B$7="71g",'Quantification Tool'!$B$7="71h",'Quantification Tool'!$B$7="71i"),ROUND(IF(E31&gt;=3,0,IF(E31&lt;=0.06,1,IF(E31&lt;=0.24,E31*'Reference Standards'!$AG$163+'Reference Standards'!$AG$164, E31^2*'Reference Standards'!$AC$162+E31*'Reference Standards'!$AC$163+'Reference Standards'!$AC$164))),2),   IF('Quantification Tool'!$B$7="74b",ROUND(IF(E31&gt;=1.3,0,IF(E31&lt;=0.29,1,IF(E31&lt;=0.48,E31*'Reference Standards'!$AH$163+'Reference Standards'!$AH$164,E31^2*'Reference Standards'!$AD$162+E31*'Reference Standards'!$AD$163+'Reference Standards'!$AD$164))),2),   IF('Quantification Tool'!$B$7="71e",ROUND(IF(E31&gt;=4.3,0,IF(E31&lt;=0.53,1,IF(E31&lt;=0.67,E31*'Reference Standards'!$AI$163+'Reference Standards'!$AI$164,E31^2*'Reference Standards'!$AE$162+E31*'Reference Standards'!$AE$163+'Reference Standards'!$AE$164))),2)       ))))))))))))),IF('Quantification Tool'!$B$8&gt;2.5,    IF('Quantification Tool'!$B$7="73a",ROUND(IF(E31&gt;=0.55,0,IF(E31&lt;=0,1,E31^2*'Reference Standards'!$AB$232+E31*'Reference Standards'!$AB$233+'Reference Standards'!$AB$234)),2),   IF('Quantification Tool'!$B$7="68a",ROUND(IF(E31&gt;=0.54,0,IF(E31&lt;=0,1, IF(E31&lt;=0.01,0.85, E31^2*'Reference Standards'!$AC$232+E31*'Reference Standards'!$AC$233+'Reference Standards'!$AC$234))),2),   IF('Quantification Tool'!$B$7="74a",ROUND(IF(E31&gt;=0.47,0,IF(E31&lt;=0.01,1, IF(E31&lt;=0.02,0.7, E31^2*'Reference Standards'!$AD$232+E31*'Reference Standards'!$AD$233+'Reference Standards'!$AD$234))),2),    IF('Quantification Tool'!$B$7="69de",ROUND(IF(E31&gt;=0.26,0,IF(E31&lt;=0.01,1, IF(E31&lt;=0.02,0.85, E31^2*'Reference Standards'!$AE$232+E31*'Reference Standards'!$AE$233+'Reference Standards'!$AE$234))),2),   IF('Quantification Tool'!$B$7="71f",ROUND(IF(E31&gt;=0.87,0,IF(E31&lt;=0.01,1,IF(E31&lt;=0.04,E31*'Reference Standards'!$AF$269+'Reference Standards'!$AF$270,E31^2*'Reference Standards'!$AB$268+E31*'Reference Standards'!$AB$269+'Reference Standards'!$AB$270))),2),  IF('Quantification Tool'!$B$7="65abei",ROUND(IF(E31&gt;=0.82,0,IF(E31&lt;=0.01,1,IF(E31&lt;=0.06,E31*'Reference Standards'!$AG$269+'Reference Standards'!$AG$270,E31^2*'Reference Standards'!$AC$268+E31*'Reference Standards'!$AC$269+'Reference Standards'!$AC$270))),2),  IF('Quantification Tool'!$B$7="65j",ROUND(IF(E31&gt;=0.33,0,IF(E31&lt;=0.03,1,IF(E31&lt;=0.09,E31*'Reference Standards'!$AH$269+'Reference Standards'!$AH$270,E31^2*'Reference Standards'!$AD$268+E31*'Reference Standards'!$AD$269+'Reference Standards'!$AD$270))),2),  IF('Quantification Tool'!$B$7="68c",ROUND(IF(E31&gt;=0.7,0,IF(E31&lt;=0.07,1,IF(E31&lt;=0.12,E31*'Reference Standards'!$AI$269+'Reference Standards'!$AI$270,E31^2*'Reference Standards'!$AE$268+E31*'Reference Standards'!$AE$269+'Reference Standards'!$AE$270))),2),   IF(OR('Quantification Tool'!$B$7="67fhi",'Quantification Tool'!$B$7="67g"),ROUND(IF(E31&gt;=1.8,0,IF(E31&lt;=0.08,1,IF(E31&lt;=0.2,E31*'Reference Standards'!$AF$306+'Reference Standards'!$AF$307,E31^2*'Reference Standards'!$AB$305+E31*'Reference Standards'!$AB$306+'Reference Standards'!$AB$307))),2),   IF('Quantification Tool'!$B$7="74b",ROUND(IF(E31&gt;=0.96,0,IF(E31&lt;=0.12,1,IF(E31&lt;=0.16,E31*'Reference Standards'!$AG$306+'Reference Standards'!$AG$307,E31^2*'Reference Standards'!$AC$305+E31*'Reference Standards'!$AC$306+'Reference Standards'!$AC$307))),2),   IF('Quantification Tool'!$B$7="66d",ROUND(IF(E31&gt;=0.75,0,IF(E31&lt;=0.13,1,IF(E31&lt;=0.2,E31*'Reference Standards'!$AH$306+'Reference Standards'!$AH$307,E31^2*'Reference Standards'!$AD$305+E31*'Reference Standards'!$AD$306+'Reference Standards'!$AD$307))),2),    IF(OR('Quantification Tool'!$B$7="71g",'Quantification Tool'!$B$7="71h",'Quantification Tool'!$B$7="71i"),ROUND(IF(E31&gt;=1.68,0,IF(E31&lt;=0.08,1,IF(E31&lt;=0.23,E31*'Reference Standards'!$AI$306+'Reference Standards'!$AI$307,E31^2*'Reference Standards'!$AE$305+E31*'Reference Standards'!$AE$306+'Reference Standards'!$AE$307))),2),   IF('Quantification Tool'!$B$7="71e",ROUND(IF(E31&gt;=5.3,0,IF(E31&lt;=0.94,1,IF(E31&lt;=1.4,E31*'Reference Standards'!$AF$310+'Reference Standards'!$AF$311,E31^2*'Reference Standards'!$AB$309+E31*'Reference Standards'!$AB$310+'Reference Standards'!$AB$311))),2))    )))))))))))))))))</f>
        <v/>
      </c>
      <c r="G31" s="104" t="str">
        <f>IFERROR(AVERAGE(F31),"")</f>
        <v/>
      </c>
      <c r="H31" s="556"/>
      <c r="I31" s="570"/>
      <c r="J31" s="523"/>
      <c r="K31" s="523"/>
      <c r="L31" s="21"/>
      <c r="O31" s="19"/>
    </row>
    <row r="32" spans="1:15" ht="15.75" x14ac:dyDescent="0.25">
      <c r="A32" s="529"/>
      <c r="B32" s="279" t="s">
        <v>94</v>
      </c>
      <c r="C32" s="81" t="s">
        <v>325</v>
      </c>
      <c r="D32" s="81"/>
      <c r="E32" s="167"/>
      <c r="F32" s="82" t="str">
        <f>IF(E32="","",IF('Quantification Tool'!$B$8&gt;2.5,IF(OR('Quantification Tool'!$B$7="71h",'Quantification Tool'!$B$7="71i",'Quantification Tool'!$B$7="73a",'Quantification Tool'!$B$7="74a"),IF(E32&lt;=0.01,1,IF(OR('Quantification Tool'!$B$7="71h",'Quantification Tool'!$B$7="71i"),IF(E32&gt;0.37,0,ROUND(IF(E32&gt;0.03,'Reference Standards'!$AB$425*E32^2+'Reference Standards'!$AB$426*E32+'Reference Standards'!$AB$427,'Reference Standards'!$AF$426*E32+'Reference Standards'!$AF$427),2)),  IF('Quantification Tool'!$B$7="73a",IF(E32&gt;0.405,0,ROUND(IF(E32&gt;0.046,'Reference Standards'!$AC$425*E32^2+'Reference Standards'!$AC$426*E32+'Reference Standards'!$AC$427,'Reference Standards'!$AG$426*E32+'Reference Standards'!$AG$427),2)),IF('Quantification Tool'!$B$7="74a",IF(E32&gt;0.3,0,ROUND(IF(E32&gt;0.052,'Reference Standards'!$AD$425*E32^2+'Reference Standards'!$AD$426*E32+'Reference Standards'!$AD$427,'Reference Standards'!$AH$426*E32+'Reference Standards'!$AH$427),2)))))),   IF(E32&lt;=0.002,1,IF(OR('Quantification Tool'!$B$7="66d",'Quantification Tool'!$B$7="66e",'Quantification Tool'!$B$7="66g"),IF(E32&gt;0.053,0,ROUND(E32^2*'Reference Standards'!$AB$347+E32*'Reference Standards'!$AB$348+'Reference Standards'!$AB$349,2)), IF('Quantification Tool'!$B$7="68b",IF(E32&gt;0.05,0,ROUND(E32^2*'Reference Standards'!$AC$347+E32*'Reference Standards'!$AC$348+'Reference Standards'!$AC$349,2)),  IF(OR('Quantification Tool'!$B$7="68a",'Quantification Tool'!$B$7="68c"),IF(E32&gt;0.07,0,ROUND(E32^2*'Reference Standards'!$AD$347+E32*'Reference Standards'!$AD$348+'Reference Standards'!$AD$349,2)), IF(OR('Quantification Tool'!$B$7="71f",'Quantification Tool'!$B$7="71g"),IF(E32&gt;0.13,0,ROUND(IF(E32&gt;0.042,E32*'Reference Standards'!$AE$348+'Reference Standards'!$AE$349,E32*'Reference Standards'!$AF$348+'Reference Standards'!$AF$349),2)), IF('Quantification Tool'!$B$7="67fhi",IF(E32&gt;0.16,0,ROUND(E32^2*'Reference Standards'!$AG$347+E32*'Reference Standards'!$AG$348+'Reference Standards'!$AG$349,2)),  IF('Quantification Tool'!$B$7="65j",IF(E32&gt;0.035,0,ROUND(IF(E32&lt;=0.003,0.7,E32^2*'Reference Standards'!$AB$387+E32*'Reference Standards'!$AB$388+'Reference Standards'!$AB$389),2)),IF('Quantification Tool'!$B$7="69de",IF(E32&gt;0.037,0,ROUND(IF(E32&lt;=0.003,0.7,E32^2*'Reference Standards'!$AC$387+E32*'Reference Standards'!$AC$388+'Reference Standards'!$AC$389),2)),IF('Quantification Tool'!$B$7="71e",IF(E32&gt;0.23,0,ROUND(IF(E32&lt;=0.003,0.7,E32^2*'Reference Standards'!$AD$387+E32*'Reference Standards'!$AD$388+'Reference Standards'!$AD$389),2)),IF('Quantification Tool'!$B$7="66f",IF(E32&gt;0.06,0,ROUND(IF(E32&lt;=0.003,0.85,IF(E32&lt;=0.004,0.7,E32^2*'Reference Standards'!$AE$387+E32*'Reference Standards'!$AE$388+'Reference Standards'!$AE$389)),2)),IF('Quantification Tool'!$B$7="67g",IF(E32&gt;0.11,0,ROUND(IF(E32&lt;=0.01,E32*'Reference Standards'!$AH$388+'Reference Standards'!$AH$389, E32^2*'Reference Standards'!$AF$387+E32*'Reference Standards'!$AF$388+'Reference Standards'!$AF$389),2)),IF('Quantification Tool'!$B$7="74b",IF(E32&gt;0.49,0,ROUND(IF(E32&lt;=0.01,E32*'Reference Standards'!$AH$388+'Reference Standards'!$AH$389, E32^2*'Reference Standards'!$AG$387+E32*'Reference Standards'!$AG$388+'Reference Standards'!$AG$389),2)),IF('Quantification Tool'!$B$7="65abei",IF(E32&gt;0.199,0,ROUND(IF(E32&lt;=0.01,E32*'Reference Standards'!$AI$426+'Reference Standards'!$AI$427, E32^2*'Reference Standards'!$AE$425+E32*'Reference Standards'!$AE$426+'Reference Standards'!$AE$427),2))    )))))))))))))),      IF('Quantification Tool'!$B$8&lt;=2.5, IF(OR('Quantification Tool'!$B$7="66d",'Quantification Tool'!$B$7="66e",'Quantification Tool'!$B$7="66g"),IF(E32&gt;0.05,0,ROUND(IF(E32&lt;=0.002,1,IF(E32&lt;=0.005,E32*'Reference Standards'!$AF$464+'Reference Standards'!$AF$465, E32^2*'Reference Standards'!$AB$463+E32*'Reference Standards'!$AB$464+'Reference Standards'!$AB$465)),2)), IF('Quantification Tool'!$B$7="67fhi",IF(E32&gt;0.1,0,ROUND(IF(E32&lt;=0.002,1,IF(E32&lt;=0.006,E32*'Reference Standards'!$AG$464+'Reference Standards'!$AG$465, E32^2*'Reference Standards'!$AC$463+E32*'Reference Standards'!$AC$464+'Reference Standards'!$AC$465)),2)), IF('Quantification Tool'!$B$7="65abei",IF(E32&gt;0.13,0,ROUND(IF(E32&lt;=0.003,1,IF(E32&lt;=0.008,E32*'Reference Standards'!$AH$464+'Reference Standards'!$AH$465, E32^2*'Reference Standards'!$AD$463+E32*'Reference Standards'!$AD$464+'Reference Standards'!$AD$465)),2)), IF('Quantification Tool'!$B$7="68b",IF(E32&gt;0.043,0,ROUND(IF(E32&lt;=0.004,1, IF(E32&lt;=0.005,0.7, E32^2*'Reference Standards'!$AE$463+E32*'Reference Standards'!$AE$464+'Reference Standards'!$AE$465)),2)), IF('Quantification Tool'!$B$7="69de",IF(E32&gt;=0.034,0,ROUND(IF(E32&lt;=0.003,1, IF(E32&lt;=0.006,E32*'Reference Standards'!$AG$500+'Reference Standards'!$AG$501, E32*'Reference Standards'!$AB$500+'Reference Standards'!$AB$501)),2)), IF(OR('Quantification Tool'!$B$7="68a",'Quantification Tool'!$B$7="68c"),IF(E32&gt;0.202,0,ROUND(IF(E32&lt;=0.003,1, IF(E32&lt;=0.006,E32*'Reference Standards'!$AG$500+'Reference Standards'!$AG$501, IF(E32&gt;=0.04,E32*'Reference Standards'!$AC$500+'Reference Standards'!$AC$501,E32*'Reference Standards'!$AE$500+'Reference Standards'!$AE$501))),2)), IF(OR('Quantification Tool'!$B$7="71f",'Quantification Tool'!$B$7="71g"),IF(E32&gt;0.631,0,ROUND(IF(E32&lt;=0.003,1, IF(E32&lt;=0.006,E32*'Reference Standards'!$AG$500+'Reference Standards'!$AG$501, IF(E32&gt;=0.17,E32*'Reference Standards'!$AD$500+'Reference Standards'!$AD$501,E32*'Reference Standards'!$AF$500+'Reference Standards'!$AF$501))),2)),   IF('Quantification Tool'!$B$7="71e",IF(E32&gt;1.23,0,ROUND(IF(E32&lt;=0.004,1,IF(E32&lt;=0.006,E32*'Reference Standards'!$AF$538+'Reference Standards'!$AF$539, E32^2*'Reference Standards'!$AB$537+E32*'Reference Standards'!$AB$538+'Reference Standards'!$AB$539)),2)), IF('Quantification Tool'!$B$7="67g",IF(E32&gt;0.11,0,ROUND(IF(E32&lt;=0.006,1,IF(E32&lt;=0.011,E32*'Reference Standards'!$AG$538+'Reference Standards'!$AG$539, E32^2*'Reference Standards'!$AC$537+E32*'Reference Standards'!$AC$538+'Reference Standards'!$AC$539)),2)), IF('Quantification Tool'!$B$7="65j",IF(E32&gt;0.046,0,ROUND(IF(E32&lt;=0.007,1,IF(E32&lt;=0.012,E32*'Reference Standards'!$AH$538+'Reference Standards'!$AH$539, E32^2*'Reference Standards'!$AD$537+E32*'Reference Standards'!$AD$538+'Reference Standards'!$AD$539)),2)), IF('Quantification Tool'!$B$7="66f",IF(E32&gt;0.081,0,ROUND(IF(E32&lt;=0.008,1,IF(E32&lt;=0.011,E32*'Reference Standards'!$AI$538+'Reference Standards'!$AI$539, E32^2*'Reference Standards'!$AE$537+E32*'Reference Standards'!$AE$538+'Reference Standards'!$AE$539)),2)), IF(OR('Quantification Tool'!$B$7="71h",'Quantification Tool'!$B$7="71i"),IF(E32&gt;0.37,0,ROUND(IF(E32&lt;=0.013,1,IF(E32&lt;=0.032,E32*'Reference Standards'!$AH$576+'Reference Standards'!$AH$577, IF(E32&lt;=0.3,E32*'Reference Standards'!$AF$576+'Reference Standards'!$AF$577,E32*'Reference Standards'!$AB$576+'Reference Standards'!$AB$577))),2)), IF('Quantification Tool'!$B$7="73a",IF(E32&gt;0.448,0,ROUND(IF(E32&lt;=0.071,1,IF(E32&lt;=0.086,E32*'Reference Standards'!$AJ$576+'Reference Standards'!$AJ$577, IF(E32&lt;=0.165,E32*'Reference Standards'!$AG$576+'Reference Standards'!$AG$577,E32*'Reference Standards'!$AE$576+'Reference Standards'!$AE$577))),2)),  IF('Quantification Tool'!$B$7="74b",IF(E32&gt;0.43,0,ROUND(IF(E32&lt;=0.018,1,IF(E32&lt;=0.019,0.85, IF(E32&lt;=0.02,0.7, E32^2*'Reference Standards'!$AC$575+E32*'Reference Standards'!$AC$576+'Reference Standards'!$AC$577))),2)), IF('Quantification Tool'!$B$7="74a",IF(E32&gt;0.217,0,ROUND(IF(E32&lt;=0.02,1,IF(E32&lt;=0.033,E32*'Reference Standards'!$AI$576+'Reference Standards'!$AI$577, E32^2*'Reference Standards'!$AD$575+E32*'Reference Standards'!$AD$576+'Reference Standards'!$AD$577)),2))     ))))))))))))))))))</f>
        <v/>
      </c>
      <c r="G32" s="105" t="str">
        <f>IFERROR(AVERAGE(F32),"")</f>
        <v/>
      </c>
      <c r="H32" s="557"/>
      <c r="I32" s="571"/>
      <c r="J32" s="523"/>
      <c r="K32" s="523"/>
      <c r="L32" s="21"/>
      <c r="O32" s="19"/>
    </row>
    <row r="33" spans="1:15" ht="15.75" x14ac:dyDescent="0.25">
      <c r="A33" s="538" t="s">
        <v>62</v>
      </c>
      <c r="B33" s="517" t="s">
        <v>432</v>
      </c>
      <c r="C33" s="154" t="s">
        <v>419</v>
      </c>
      <c r="D33" s="155"/>
      <c r="E33" s="209"/>
      <c r="F33" s="219" t="str">
        <f>IF(E33="","",IF(OR('Quantification Tool'!B$7="73a",'Quantification Tool'!B$7="73b"),IF(E33&lt;1,0,IF(E33&gt;=30,1,ROUND(IF(E33&lt;22,'Reference Standards'!$AL$16*E33+'Reference Standards'!$AL$17,'Reference Standards'!$AM$16*E33+'Reference Standards'!$AM$17),2))), IF(E33&lt;1,0, IF(E33&gt;=42,1, ROUND(IF(E33&lt;32,'Reference Standards'!$AN$16*E33+'Reference Standards'!$AN$17,'Reference Standards'!$AO$16*E33+'Reference Standards'!$AO$17),2)))))</f>
        <v/>
      </c>
      <c r="G33" s="558" t="str">
        <f>IFERROR(AVERAGE(F33:F36),"")</f>
        <v/>
      </c>
      <c r="H33" s="537" t="str">
        <f>IFERROR(ROUND(AVERAGE(G33:G38),2),"")</f>
        <v/>
      </c>
      <c r="I33" s="572" t="str">
        <f>IF(H33="","",IF(H33&gt;0.69,"Functioning",IF(H33&gt;0.29,"Functioning At Risk",IF(H33&gt;-1,"Not Functioning"))))</f>
        <v/>
      </c>
      <c r="J33" s="523"/>
      <c r="K33" s="523"/>
      <c r="L33" s="21"/>
      <c r="O33" s="19"/>
    </row>
    <row r="34" spans="1:15" ht="15.75" x14ac:dyDescent="0.25">
      <c r="A34" s="539"/>
      <c r="B34" s="518"/>
      <c r="C34" s="217" t="s">
        <v>424</v>
      </c>
      <c r="D34" s="218"/>
      <c r="E34" s="208"/>
      <c r="F34" s="221" t="str">
        <f>IF(E34="","",IF(AND('Quantification Tool'!$B$7="74b",'Quantification Tool'!$B$8&lt;=2),IF(E34&lt;0,0,IF(E34&gt;15.6,0.69,ROUND('Reference Standards'!$AL$54*E34^2+'Reference Standards'!$AL$55*E34+'Reference Standards'!$AL$56,2))),IF(AND('Quantification Tool'!$B$7="65abei",'Quantification Tool'!$B$8&lt;=2),IF(E34&lt;0,0,IF(E34&gt;=20,0.69,ROUND('Reference Standards'!$AM$54*E34^2+'Reference Standards'!$AM$55*E34+'Reference Standards'!$AM$56,2))),IF(OR(AND('Quantification Tool'!$B$7="74a",'Quantification Tool'!$B$8&gt;2,'Quantification Tool'!$B$14="January - June"),AND('Quantification Tool'!$B$7="71i",'Quantification Tool'!$B$8&gt;2,'Quantification Tool'!$B$15="SQBANK")),IF(E34&lt;0,0,IF(E34&gt;24.7,0.69,ROUND('Reference Standards'!$AN$54*E34^2+'Reference Standards'!$AN$55*E34+'Reference Standards'!$AN$56,2))),IF(OR('Quantification Tool'!$B$7="74b",'Quantification Tool'!$B$7="65abei"),IF(E34&lt;0,0,IF(E34&gt;32.7,0.69,ROUND('Reference Standards'!$AO$54*E34^2+'Reference Standards'!$AO$55*E34+'Reference Standards'!$AO$56,2))),IF(AND('Quantification Tool'!$B$7="68b",'Quantification Tool'!$B$8&gt;2),IF(E34&lt;0,0,IF(E34&gt;41.2,0.69,ROUND('Reference Standards'!$AP$54*E34^2+'Reference Standards'!$AP$55*E34+'Reference Standards'!$AP$56,2))),IF(OR(AND('Quantification Tool'!$B$7="71i",'Quantification Tool'!$B$8&lt;=2),AND(OR('Quantification Tool'!$B$7="68c",'Quantification Tool'!$B$7="68d"),'Quantification Tool'!$B$14="January - June")),IF(E34&lt;0,0,IF(E34&gt;49.2,0.69,ROUND('Reference Standards'!$AL$94*E34^2+'Reference Standards'!$AL$95*E34+'Reference Standards'!$AL$96,2))),IF(OR(AND('Quantification Tool'!$B$7="68a",'Quantification Tool'!$B$14="January - June"),AND(OR('Quantification Tool'!$B$7="68c",'Quantification Tool'!$B$7="68d"),'Quantification Tool'!$B$14="July - December")),IF(E34&lt;0,0,IF(E34&gt;53.4,0.69,ROUND('Reference Standards'!$AM$94*E34^2+'Reference Standards'!$AM$95*E34+'Reference Standards'!$AM$96,2))),IF(OR(AND('Quantification Tool'!$B$7="71i",'Quantification Tool'!$B$8&gt;2,'Quantification Tool'!$B$15="SQKICK"),AND(OR('Quantification Tool'!$B$7="67fhi",'Quantification Tool'!$B$7="67g"),'Quantification Tool'!$B$8&lt;=2),'Quantification Tool'!$B$7="65j"),IF(E34&lt;0,0,IF(E34&gt;57.8,0.69,ROUND('Reference Standards'!$AN$94*E34^2+'Reference Standards'!$AN$95*E34+'Reference Standards'!$AN$96,2))),IF(OR(AND('Quantification Tool'!$B$7="74a",'Quantification Tool'!$B$8&gt;2,'Quantification Tool'!$B$14="July - December"),AND(OR('Quantification Tool'!$B$7="67fhi",'Quantification Tool'!$B$7="67g"),'Quantification Tool'!$B$8&gt;2),'Quantification Tool'!$B$7="69de"),IF(E34&lt;0,0,IF(E34&gt;62.5,0.69,ROUND('Reference Standards'!$AO$94*E34^2+'Reference Standards'!$AO$95*E34+'Reference Standards'!$AO$96,2))),  IF(OR('Quantification Tool'!$B$7="66d",'Quantification Tool'!$B$7="66e",'Quantification Tool'!$B$7="66ik",'Quantification Tool'!$B$7="71e",'Quantification Tool'!$B$7="71f",'Quantification Tool'!$B$7="71g",'Quantification Tool'!$B$7="71h"),IF(E34&lt;0,0,IF(E34&gt;66.5,0.69,ROUND('Reference Standards'!$AP$94*E34^2+'Reference Standards'!$AP$95*E34+'Reference Standards'!$AP$96,2))),IF(OR('Quantification Tool'!$B$7="66f",'Quantification Tool'!$B$7="66g",'Quantification Tool'!$B$7="66j",AND('Quantification Tool'!$B$7="68a",'Quantification Tool'!$B$14="July - December")), IF(E34&lt;0,0,IF(E34&gt;69,0.69,ROUND('Reference Standards'!$AQ$94*E34^2+'Reference Standards'!$AQ$95*E34+'Reference Standards'!$AQ$96,2))))   )))))))))))</f>
        <v/>
      </c>
      <c r="G34" s="558"/>
      <c r="H34" s="537"/>
      <c r="I34" s="572"/>
      <c r="J34" s="523"/>
      <c r="K34" s="523"/>
      <c r="L34" s="21"/>
      <c r="O34" s="19"/>
    </row>
    <row r="35" spans="1:15" ht="15.75" x14ac:dyDescent="0.25">
      <c r="A35" s="539"/>
      <c r="B35" s="518"/>
      <c r="C35" s="217" t="s">
        <v>428</v>
      </c>
      <c r="D35" s="218"/>
      <c r="E35" s="208"/>
      <c r="F35" s="221" t="str">
        <f>IF(E35="","",IF(AND('Quantification Tool'!$B$7="74b",'Quantification Tool'!$B$8&lt;=2),IF(E35&lt;0,0,IF(E35&gt;8.1,0.69,ROUND('Reference Standards'!$AL$131*E35^2+'Reference Standards'!$AL$132*E35+'Reference Standards'!$AL$133,2))),IF(OR('Quantification Tool'!$B$7="73a",'Quantification Tool'!$B$7="73b"),IF(E35&lt;0,0,IF(E35&gt;=28,0.69,ROUND('Reference Standards'!$AM$131*E35^2+'Reference Standards'!$AM$132*E35+'Reference Standards'!$AM$133,2))),IF(AND('Quantification Tool'!$B$7="74a",'Quantification Tool'!$B$8&gt;2,'Quantification Tool'!$B$14="January - June"),IF(E35&lt;0,0,IF(E35&gt;=32.5,0.69,ROUND('Reference Standards'!$AN$131*E35^2+'Reference Standards'!$AN$132*E35+'Reference Standards'!$AN$133,2))),IF(AND('Quantification Tool'!$B$7="71i",'Quantification Tool'!$B$8&gt;2,'Quantification Tool'!$B$15="SQBANK"),IF(E35&lt;0,0,IF(E35&gt;=37,0.69,ROUND('Reference Standards'!$AO$131*E35^2+'Reference Standards'!$AO$132*E35+'Reference Standards'!$AO$133,2))),IF(OR(AND(OR('Quantification Tool'!$B$7="65abei",'Quantification Tool'!$B$7="74b"),'Quantification Tool'!$B$8&gt;2),AND('Quantification Tool'!$B$7="71i",'Quantification Tool'!$B$8&gt;2,'Quantification Tool'!$B$15="SQKICK")),IF(E35&lt;0,0,IF(E35&gt;42.6,0.69,ROUND('Reference Standards'!$AP$131*E35^2+'Reference Standards'!$AP$132*E35+'Reference Standards'!$AP$133,2))),     IF(OR(AND('Quantification Tool'!$B$7="65abei",'Quantification Tool'!$B$8&lt;=2),AND(OR('Quantification Tool'!$B$7="68c",'Quantification Tool'!$B$7="68d"),'Quantification Tool'!$B$14="July - December"),'Quantification Tool'!$B$7="71e"),IF(E35&lt;0,0,IF(E35&gt;=48,0.69,ROUND('Reference Standards'!$AL$171*E35^2+'Reference Standards'!$AL$172*E35+'Reference Standards'!$AL$173,2))),IF(OR('Quantification Tool'!$B$7="65j",'Quantification Tool'!$B$7="67fhi",'Quantification Tool'!$B$7="67g",AND('Quantification Tool'!$B$7="74a",'Quantification Tool'!$B$14="July - December",'Quantification Tool'!$B$8&gt;2),AND('Quantification Tool'!$B$7="71i",'Quantification Tool'!$B$8&lt;=2)),IF(E35&lt;0,0,IF(E35&gt;=53,0.69,ROUND('Reference Standards'!$AM$171*E35^2+'Reference Standards'!$AM$172*E35+'Reference Standards'!$AM$173,2))),IF(OR(AND(OR('Quantification Tool'!$B$7="68b",'Quantification Tool'!$B$7="71f",'Quantification Tool'!$B$7="71g",'Quantification Tool'!$B$7="71h"),'Quantification Tool'!$B$8&gt;2),'Quantification Tool'!$B$7="68a"),IF(E35&lt;0,0,IF(E35&gt;=57,0.69,ROUND('Reference Standards'!$AN$171*E35^2+'Reference Standards'!$AN$172*E35+'Reference Standards'!$AN$173,2))),IF(OR('Quantification Tool'!$B$7="66f",'Quantification Tool'!$B$7="66g",'Quantification Tool'!$B$7="66j",AND(OR('Quantification Tool'!$B$7="71f",'Quantification Tool'!$B$7="71g",'Quantification Tool'!$B$7="71h"),'Quantification Tool'!$B$8&lt;=2)),IF(E35&lt;0,0,IF(E35&gt;=60,0.69,ROUND('Reference Standards'!$AO$171*E35^2+'Reference Standards'!$AO$172*E35+'Reference Standards'!$AO$173,2))),  IF(OR('Quantification Tool'!$B$7="66d",'Quantification Tool'!$B$7="66e",'Quantification Tool'!$B$7="66ik", AND(OR('Quantification Tool'!$B$7="68c",'Quantification Tool'!$B$7="68d"),'Quantification Tool'!$B$14="January - June"),AND('Quantification Tool'!$B$7="69de",'Quantification Tool'!$B$14="July - December")),IF(E35&lt;0,0,IF(E35&gt;=67.5,0.69,ROUND('Reference Standards'!$AP$171*E35^2+'Reference Standards'!$AP$172*E35+'Reference Standards'!$AP$173,2))),IF(AND('Quantification Tool'!$B$7="69de",'Quantification Tool'!$B$14="January - June"), IF(E35&lt;0,0,IF(E35&gt;=72,0.69,ROUND('Reference Standards'!$AQ$171*E35^2+'Reference Standards'!$AQ$172*E35+'Reference Standards'!$AQ$173,2))))   )))))))))))</f>
        <v/>
      </c>
      <c r="G35" s="558"/>
      <c r="H35" s="537"/>
      <c r="I35" s="572"/>
      <c r="J35" s="523"/>
      <c r="K35" s="523"/>
      <c r="L35" s="21"/>
      <c r="O35" s="19"/>
    </row>
    <row r="36" spans="1:15" ht="15.75" x14ac:dyDescent="0.25">
      <c r="A36" s="539"/>
      <c r="B36" s="519"/>
      <c r="C36" s="156" t="s">
        <v>425</v>
      </c>
      <c r="D36" s="88"/>
      <c r="E36" s="210"/>
      <c r="F36" s="221" t="str">
        <f>IF(E36="","",IF(OR('Quantification Tool'!$B$7="67fhi",'Quantification Tool'!$B$7="67g",'Quantification Tool'!$B$7="71e",'Quantification Tool'!$B$7="73a",'Quantification Tool'!$B$7="73b",AND(OR('Quantification Tool'!$B$7="71f",'Quantification Tool'!$B$7="71g",'Quantification Tool'!$B$7="71h"),'Quantification Tool'!$B$8&gt;2)),IF(E36&gt;100,0,IF(E36&lt;15,0.69,ROUND('Reference Standards'!$AL$208*E36^2+'Reference Standards'!$AL$209*E36+'Reference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),IF(E36&gt;100,0,IF(E36&lt;19,0.69,ROUND('Reference Standards'!$AM$208*E36^2+'Reference Standards'!$AM$209*E36+'Reference Standards'!$AM$210,2))),    IF(OR(AND('Quantification Tool'!$B$7="69de",'Quantification Tool'!$B$14="January - June"),AND('Quantification Tool'!$B$7="71i",'Quantification Tool'!$B$8&gt;2,'Quantification Tool'!$B$15="SQKICK" )),IF(E36&gt;100,0,IF(E36&lt;22,0.69,ROUND('Reference Standards'!$AN$208*E36^2+'Reference Standards'!$AN$209*E36+'Reference Standards'!$AN$210,2))),    IF(OR('Quantification Tool'!$B$7="65j",AND('Quantification Tool'!$B$7="68b",'Quantification Tool'!$B$8&gt;2)),IF(E36&gt;100,0,IF(E36&lt;24,0.69,ROUND('Reference Standards'!$AO$208*E36^2+'Reference Standards'!$AO$209*E36+'Reference Standards'!$AO$210,2))),    IF(AND(OR('Quantification Tool'!$B$7="65abei",'Quantification Tool'!$B$7="71f",'Quantification Tool'!$B$7="71g",'Quantification Tool'!$B$7="71h"),'Quantification Tool'!$B$8&lt;=2),IF(E36&gt;95,0,IF(E36&lt;33,0.69,ROUND('Reference Standards'!$AL$246*E36^2+'Reference Standards'!$AL$247*E36+'Reference Standards'!$AL$248,2))),   IF(AND(OR('Quantification Tool'!$B$7="65abei",'Quantification Tool'!$B$7="74b"),'Quantification Tool'!$B$8&gt;2),IF(E36&gt;97,0,IF(E36&lt;36,0.69,ROUND('Reference Standards'!$AM$246*E36^2+'Reference Standards'!$AM$247*E36+'Reference Standards'!$AM$248,2))),  IF(AND('Quantification Tool'!$B$7="74a",'Quantification Tool'!$B$14="January - June",'Quantification Tool'!$B$8&gt;2),IF(E36&gt;93,0,IF(E36&lt;52,0.69,ROUND('Reference Standards'!$AN$246*E36^2+'Reference Standards'!$AN$247*E36+'Reference Standards'!$AN$248,2))),   IF(AND('Quantification Tool'!$B$7="74b",'Quantification Tool'!$B$8&lt;=2),IF(E36&gt;97,0,IF(E36&lt;62,0.69,ROUND('Reference Standards'!$AO$246*E36^2+'Reference Standards'!$AO$247*E36+'Reference Standards'!$AO$248,2)))  )))))))))</f>
        <v/>
      </c>
      <c r="G36" s="558"/>
      <c r="H36" s="537"/>
      <c r="I36" s="572"/>
      <c r="J36" s="523"/>
      <c r="K36" s="523"/>
      <c r="L36" s="21"/>
      <c r="O36" s="19"/>
    </row>
    <row r="37" spans="1:15" ht="15.75" x14ac:dyDescent="0.25">
      <c r="A37" s="539"/>
      <c r="B37" s="530" t="s">
        <v>86</v>
      </c>
      <c r="C37" s="154" t="s">
        <v>255</v>
      </c>
      <c r="D37" s="155"/>
      <c r="E37" s="209"/>
      <c r="F37" s="219" t="str">
        <f>IF(E37="","",IF(E37=1,0.15,IF(E37=3,0.5,IF(E37=5,0.85,0))))</f>
        <v/>
      </c>
      <c r="G37" s="531" t="str">
        <f>IFERROR(AVERAGE(F37:F38),"")</f>
        <v/>
      </c>
      <c r="H37" s="537"/>
      <c r="I37" s="572"/>
      <c r="J37" s="523"/>
      <c r="K37" s="523"/>
      <c r="L37" s="21"/>
    </row>
    <row r="38" spans="1:15" ht="15.75" x14ac:dyDescent="0.25">
      <c r="A38" s="540"/>
      <c r="B38" s="530"/>
      <c r="C38" s="156" t="s">
        <v>420</v>
      </c>
      <c r="D38" s="88"/>
      <c r="E38" s="210"/>
      <c r="F38" s="220" t="str">
        <f>IF(E38="","",IF(E38=1,0.15,IF(E38=3,0.5,IF(E38=5,0.85,0))))</f>
        <v/>
      </c>
      <c r="G38" s="532"/>
      <c r="H38" s="537"/>
      <c r="I38" s="572"/>
      <c r="J38" s="523"/>
      <c r="K38" s="523"/>
      <c r="L38" s="21"/>
    </row>
    <row r="39" spans="1:15" x14ac:dyDescent="0.25">
      <c r="J39" s="13"/>
      <c r="K39" s="13"/>
      <c r="L39" s="21"/>
    </row>
    <row r="40" spans="1:15" ht="21" x14ac:dyDescent="0.35">
      <c r="A40" s="188" t="s">
        <v>173</v>
      </c>
      <c r="B40" s="312"/>
      <c r="C40" s="315" t="s">
        <v>395</v>
      </c>
      <c r="D40" s="312"/>
      <c r="E40" s="313"/>
      <c r="F40" s="314"/>
      <c r="G40" s="450" t="s">
        <v>18</v>
      </c>
      <c r="H40" s="451"/>
      <c r="I40" s="451"/>
      <c r="J40" s="451"/>
      <c r="K40" s="452"/>
      <c r="L40" s="21"/>
    </row>
    <row r="41" spans="1:15" ht="15.75" x14ac:dyDescent="0.25">
      <c r="A41" s="176" t="s">
        <v>1</v>
      </c>
      <c r="B41" s="176" t="s">
        <v>2</v>
      </c>
      <c r="C41" s="498" t="s">
        <v>3</v>
      </c>
      <c r="D41" s="573"/>
      <c r="E41" s="176" t="s">
        <v>15</v>
      </c>
      <c r="F41" s="176" t="s">
        <v>16</v>
      </c>
      <c r="G41" s="176" t="s">
        <v>19</v>
      </c>
      <c r="H41" s="176" t="s">
        <v>20</v>
      </c>
      <c r="I41" s="176" t="s">
        <v>20</v>
      </c>
      <c r="J41" s="176" t="s">
        <v>21</v>
      </c>
      <c r="K41" s="60" t="s">
        <v>21</v>
      </c>
    </row>
    <row r="42" spans="1:15" ht="15.75" x14ac:dyDescent="0.25">
      <c r="A42" s="453" t="s">
        <v>68</v>
      </c>
      <c r="B42" s="294" t="s">
        <v>99</v>
      </c>
      <c r="C42" s="62" t="s">
        <v>421</v>
      </c>
      <c r="D42" s="62"/>
      <c r="E42" s="202"/>
      <c r="F42" s="173" t="str">
        <f>IF(E42="","",IF(E42&gt;78,0,IF(E42&lt;30,1,ROUND('Reference Standards'!C$14*E42^2+'Reference Standards'!C$15*E42+'Reference Standards'!C$16,2))))</f>
        <v/>
      </c>
      <c r="G42" s="101" t="str">
        <f>IFERROR(AVERAGE(F42),"")</f>
        <v/>
      </c>
      <c r="H42" s="460" t="str">
        <f>IFERROR(ROUND(AVERAGE(G42:G46),2),"")</f>
        <v/>
      </c>
      <c r="I42" s="572" t="str">
        <f>IF(H42="","",IF(H42&gt;0.69,"Functioning",IF(H42&gt;0.29,"Functioning At Risk",IF(H42&gt;-1,"Not Functioning"))))</f>
        <v/>
      </c>
      <c r="J42" s="523" t="str">
        <f>IF(AND(H42="",H47="",H49="",H68="",H72=""),"",ROUND((IF(H42="",0,H42)*0.2)+(IF(H47="",0,H47)*0.2)+(IF(H49="",0,H49)*0.2)+(IF(H68="",0,H68)*0.2)+(IF(H72="",0,H72)*0.2),2))</f>
        <v/>
      </c>
      <c r="K42" s="523" t="str">
        <f>IF(J42="","",IF(J42&lt;0.3, "Not Functioning",IF(OR(H42&lt;0.7,H47&lt;0.7,H49&lt;0.7,H68&lt;0.7,H72&lt;0.7),"Functioning At Risk",IF(J42&lt;0.7,"Functioning At Risk","Functioning"))))</f>
        <v/>
      </c>
    </row>
    <row r="43" spans="1:15" ht="15.75" x14ac:dyDescent="0.25">
      <c r="A43" s="454"/>
      <c r="B43" s="541" t="s">
        <v>154</v>
      </c>
      <c r="C43" s="170" t="s">
        <v>202</v>
      </c>
      <c r="D43" s="169"/>
      <c r="E43" s="167"/>
      <c r="F43" s="173" t="str">
        <f>IF(E43="","",IF(E43&gt;=1,1,IF(E43&lt;=0,0,ROUND(E43,2))))</f>
        <v/>
      </c>
      <c r="G43" s="544" t="str">
        <f>IFERROR(AVERAGE(F43:F46),"")</f>
        <v/>
      </c>
      <c r="H43" s="461"/>
      <c r="I43" s="572"/>
      <c r="J43" s="523"/>
      <c r="K43" s="523"/>
    </row>
    <row r="44" spans="1:15" ht="15.75" x14ac:dyDescent="0.25">
      <c r="A44" s="454"/>
      <c r="B44" s="542"/>
      <c r="C44" s="171" t="s">
        <v>155</v>
      </c>
      <c r="D44" s="62"/>
      <c r="E44" s="202"/>
      <c r="F44" s="63" t="str">
        <f>IF(E44="","",IF(E44&gt;3,0,IF(E44=0,1,ROUND('Reference Standards'!C$49*E44+'Reference Standards'!C$50,2))))</f>
        <v/>
      </c>
      <c r="G44" s="545"/>
      <c r="H44" s="461"/>
      <c r="I44" s="572"/>
      <c r="J44" s="523"/>
      <c r="K44" s="523"/>
    </row>
    <row r="45" spans="1:15" ht="15.75" x14ac:dyDescent="0.25">
      <c r="A45" s="454"/>
      <c r="B45" s="542"/>
      <c r="C45" s="171" t="s">
        <v>429</v>
      </c>
      <c r="D45" s="62"/>
      <c r="E45" s="202"/>
      <c r="F45" s="63" t="str">
        <f>IF(E45="","",IF(E45&gt;=30,1,ROUND(E45^2*'Reference Standards'!$C$82+E45*'Reference Standards'!$C$83+'Reference Standards'!$C$84,2)))</f>
        <v/>
      </c>
      <c r="G45" s="545"/>
      <c r="H45" s="461"/>
      <c r="I45" s="572"/>
      <c r="J45" s="523"/>
      <c r="K45" s="523"/>
    </row>
    <row r="46" spans="1:15" ht="15.75" x14ac:dyDescent="0.25">
      <c r="A46" s="454"/>
      <c r="B46" s="543"/>
      <c r="C46" s="172" t="s">
        <v>391</v>
      </c>
      <c r="D46" s="64"/>
      <c r="E46" s="203"/>
      <c r="F46" s="168" t="str">
        <f>IF(E46="","",IF('Quantification Tool'!B$16="Sandy",IF(E46&gt;1.94,0,IF(E46&lt;1.45,1,ROUND(E46*'Reference Standards'!$C$118+'Reference Standards'!$C$119,2))),IF('Quantification Tool'!B$16="Silty",IF(E46&gt;1.83,0,IF(E46&lt;1.21,1,ROUND(E46*'Reference Standards'!$D$118+'Reference Standards'!$D$119,2))),IF('Quantification Tool'!B$16="Clayey",IF(E46&gt;1.74,0,IF(E46&lt;0.82,1,ROUND(E46*'Reference Standards'!$E$118+'Reference Standards'!$E$119,2)))))))</f>
        <v/>
      </c>
      <c r="G46" s="546"/>
      <c r="H46" s="461"/>
      <c r="I46" s="572"/>
      <c r="J46" s="523"/>
      <c r="K46" s="523"/>
    </row>
    <row r="47" spans="1:15" ht="15.75" x14ac:dyDescent="0.25">
      <c r="A47" s="547" t="s">
        <v>6</v>
      </c>
      <c r="B47" s="547" t="s">
        <v>7</v>
      </c>
      <c r="C47" s="66" t="s">
        <v>8</v>
      </c>
      <c r="D47" s="66"/>
      <c r="E47" s="202"/>
      <c r="F47" s="67" t="str">
        <f>IF(E47="","",ROUND(IF(E47&gt;1.6,0,IF(E47&lt;=1,1,E47^2*'Reference Standards'!K$14+E47*'Reference Standards'!K$15+'Reference Standards'!K$16)),2))</f>
        <v/>
      </c>
      <c r="G47" s="504" t="str">
        <f>IFERROR(AVERAGE(F47:F48),"")</f>
        <v/>
      </c>
      <c r="H47" s="504" t="str">
        <f>IFERROR(ROUND(AVERAGE(G47),2),"")</f>
        <v/>
      </c>
      <c r="I47" s="574" t="str">
        <f>IF(H47="","",IF(H47&gt;0.69,"Functioning",IF(H47&gt;0.29,"Functioning At Risk",IF(H47&gt;-1,"Not Functioning"))))</f>
        <v/>
      </c>
      <c r="J47" s="523"/>
      <c r="K47" s="523"/>
    </row>
    <row r="48" spans="1:15" ht="15.75" x14ac:dyDescent="0.25">
      <c r="A48" s="549"/>
      <c r="B48" s="548"/>
      <c r="C48" s="66" t="s">
        <v>9</v>
      </c>
      <c r="D48" s="66"/>
      <c r="E48" s="203"/>
      <c r="F48" s="67" t="str">
        <f>IF(E48="","",(IF(OR('Quantification Tool'!B$6="A",'Quantification Tool'!B$6="B",'Quantification Tool'!$B$6="Bc"),IF(E48&lt;1.2,0,IF(E48&gt;=2.2,1,ROUND(IF(E48&lt;1.4,E48*'Reference Standards'!$K$84+'Reference Standards'!$K$85,E48*'Reference Standards'!$L$84+'Reference Standards'!$L$85),2))),IF(OR('Quantification Tool'!B$6="C",'Quantification Tool'!B$6="E"),IF(E48&lt;2,0,IF(E48&gt;=5,1,ROUND(IF(E48&lt;2.4,E48*'Reference Standards'!$L$49+'Reference Standards'!$L$50,E48*'Reference Standards'!$K$49+'Reference Standards'!$K$50),2)))))))</f>
        <v/>
      </c>
      <c r="G48" s="533"/>
      <c r="H48" s="505"/>
      <c r="I48" s="575"/>
      <c r="J48" s="523"/>
      <c r="K48" s="523"/>
    </row>
    <row r="49" spans="1:13" ht="15.75" x14ac:dyDescent="0.25">
      <c r="A49" s="464" t="s">
        <v>27</v>
      </c>
      <c r="B49" s="553" t="s">
        <v>28</v>
      </c>
      <c r="C49" s="74" t="s">
        <v>422</v>
      </c>
      <c r="D49" s="308"/>
      <c r="E49" s="75"/>
      <c r="F49" s="310" t="str">
        <f>IF(E49="","",IF(E49&gt;700,1,IF(E49&lt;300,ROUND('Reference Standards'!$S$14*(E49^2)+'Reference Standards'!$S$15*E49+'Reference Standards'!$S$16,2),ROUND('Reference Standards'!$T$15*E49+'Reference Standards'!$T$16,2))))</f>
        <v/>
      </c>
      <c r="G49" s="506" t="str">
        <f>IFERROR(AVERAGE(F49:F50),"")</f>
        <v/>
      </c>
      <c r="H49" s="534" t="str">
        <f>IFERROR(ROUND(AVERAGE(G49:G67),2),"")</f>
        <v/>
      </c>
      <c r="I49" s="523" t="str">
        <f>IF(H49="","",IF(H49&gt;0.69,"Functioning",IF(H49&gt;0.29,"Functioning At Risk",IF(H49&gt;-1,"Not Functioning"))))</f>
        <v/>
      </c>
      <c r="J49" s="523"/>
      <c r="K49" s="523"/>
    </row>
    <row r="50" spans="1:13" ht="15.75" x14ac:dyDescent="0.25">
      <c r="A50" s="465"/>
      <c r="B50" s="554"/>
      <c r="C50" s="77" t="s">
        <v>394</v>
      </c>
      <c r="D50" s="309"/>
      <c r="E50" s="65"/>
      <c r="F50" s="311" t="str">
        <f>IF(E50="","",IF(E50&gt;=30,1,IF(E50&lt;16,ROUND('Reference Standards'!$S$47*(E50^2)+'Reference Standards'!$S$48*E50+'Reference Standards'!$S$49,2),ROUND('Reference Standards'!$T$48*E50+'Reference Standards'!$T$49,2))))</f>
        <v/>
      </c>
      <c r="G50" s="508"/>
      <c r="H50" s="534"/>
      <c r="I50" s="523"/>
      <c r="J50" s="523"/>
      <c r="K50" s="523"/>
    </row>
    <row r="51" spans="1:13" ht="15.75" x14ac:dyDescent="0.25">
      <c r="A51" s="465"/>
      <c r="B51" s="465" t="s">
        <v>51</v>
      </c>
      <c r="C51" s="71" t="s">
        <v>92</v>
      </c>
      <c r="D51" s="71"/>
      <c r="E51" s="167"/>
      <c r="F51" s="72" t="str">
        <f>IF(E51="","",ROUND(IF(E51&gt;0.7,0,IF(E51&lt;=0.1,1,E51^3*'Reference Standards'!S$81+E51^2*'Reference Standards'!S$82+E51*'Reference Standards'!S$83+'Reference Standards'!S$84)),2))</f>
        <v/>
      </c>
      <c r="G51" s="551" t="str">
        <f>IFERROR(IF(E51="",AVERAGE(F52:F53),IF(E52="",F51,MAX(F51,AVERAGE(F52:F53)))),"")</f>
        <v/>
      </c>
      <c r="H51" s="535"/>
      <c r="I51" s="523"/>
      <c r="J51" s="523"/>
      <c r="K51" s="523"/>
    </row>
    <row r="52" spans="1:13" ht="15.75" x14ac:dyDescent="0.25">
      <c r="A52" s="465"/>
      <c r="B52" s="465"/>
      <c r="C52" s="71" t="s">
        <v>52</v>
      </c>
      <c r="D52" s="71"/>
      <c r="E52" s="202"/>
      <c r="F52" s="72" t="str">
        <f>IF(E52="","",IF(OR(E52="Ex/Ex",E52="Ex/VH"),0, IF(OR(E52="Ex/H",E52="VH/Ex",E52="VH/VH", E52="H/Ex",E52="H/VH",E52="M/Ex"),0.1,IF(OR(E52="Ex/M",E52="VH/H",E52="H/H", E52="M/VH"),0.2, IF(OR(E52="Ex/L",E52="VH/M",E52="H/M", E52="M/H",E52="L/Ex"),0.3, IF(OR(E52="Ex/VL",E52="VH/L",E52="H/L"),0.4, IF(OR(E52="VH/VL",E52="H/VL",E52="M/M", E52="L/VH"),0.5, IF(OR(E52="M/L",E52="L/H"),0.6, IF(OR(E52="M/VL",E52="L/M"),0.7, IF(OR(E52="L/L",E52="L/VL"),1))))))))))</f>
        <v/>
      </c>
      <c r="G52" s="551"/>
      <c r="H52" s="535"/>
      <c r="I52" s="523"/>
      <c r="J52" s="523"/>
      <c r="K52" s="523"/>
    </row>
    <row r="53" spans="1:13" ht="15.75" x14ac:dyDescent="0.25">
      <c r="A53" s="465"/>
      <c r="B53" s="466"/>
      <c r="C53" s="73" t="s">
        <v>102</v>
      </c>
      <c r="D53" s="73"/>
      <c r="E53" s="203"/>
      <c r="F53" s="80" t="str">
        <f>IF(E53="","",ROUND(IF(E53&gt;40,0,IF(E53&lt;5,1,E53^3*'Reference Standards'!S$116+E53^2*'Reference Standards'!S$117+E53*'Reference Standards'!S$118+'Reference Standards'!S$119)),2))</f>
        <v/>
      </c>
      <c r="G53" s="551"/>
      <c r="H53" s="535"/>
      <c r="I53" s="523"/>
      <c r="J53" s="523"/>
      <c r="K53" s="523"/>
    </row>
    <row r="54" spans="1:13" ht="15.75" x14ac:dyDescent="0.25">
      <c r="A54" s="465"/>
      <c r="B54" s="465" t="s">
        <v>53</v>
      </c>
      <c r="C54" s="74" t="s">
        <v>120</v>
      </c>
      <c r="D54" s="78"/>
      <c r="E54" s="167"/>
      <c r="F54" s="90" t="str">
        <f>IF(E54="","",ROUND(IF(E54&gt;90,1,E54^2*'Reference Standards'!S$151+E54*'Reference Standards'!S$152+'Reference Standards'!S$153),2))</f>
        <v/>
      </c>
      <c r="G54" s="550" t="str">
        <f>IFERROR(ROUND(AVERAGE(F54:F61),2),"")</f>
        <v/>
      </c>
      <c r="H54" s="535"/>
      <c r="I54" s="523"/>
      <c r="J54" s="523"/>
      <c r="K54" s="523"/>
    </row>
    <row r="55" spans="1:13" ht="15.75" x14ac:dyDescent="0.25">
      <c r="A55" s="465"/>
      <c r="B55" s="465"/>
      <c r="C55" s="76" t="s">
        <v>121</v>
      </c>
      <c r="D55" s="71"/>
      <c r="E55" s="202"/>
      <c r="F55" s="72" t="str">
        <f>IF(E55="","",ROUND(IF(E55&gt;90,1,E55^2*'Reference Standards'!S$151+E55*'Reference Standards'!S$152+'Reference Standards'!S$153),2))</f>
        <v/>
      </c>
      <c r="G55" s="551"/>
      <c r="H55" s="535"/>
      <c r="I55" s="523"/>
      <c r="J55" s="523"/>
      <c r="K55" s="523"/>
    </row>
    <row r="56" spans="1:13" ht="15.75" x14ac:dyDescent="0.25">
      <c r="A56" s="465"/>
      <c r="B56" s="465"/>
      <c r="C56" s="76" t="s">
        <v>430</v>
      </c>
      <c r="D56" s="71"/>
      <c r="E56" s="202"/>
      <c r="F56" s="72" t="str">
        <f>IF(E56="","",ROUND(IF(OR('Quantification Tool'!B$6="A",'Quantification Tool'!B$6="B",'Quantification Tool'!B$6="Bc"),IF(E56&gt;=50,1, IF(E56&lt;30, E56*'Reference Standards'!#REF!+'Reference Standards'!#REF!, E56*'Reference Standards'!#REF!+'Reference Standards'!#REF!)), IF(E56&gt;=150,1,IF(E56&lt;48, E56^2*'Reference Standards'!S$220+E56*'Reference Standards'!S$221+'Reference Standards'!S$222, E56*'Reference Standards'!T$220+'Reference Standards'!T$221))),2))</f>
        <v/>
      </c>
      <c r="G56" s="551"/>
      <c r="H56" s="535"/>
      <c r="I56" s="523"/>
      <c r="J56" s="523"/>
      <c r="K56" s="523"/>
    </row>
    <row r="57" spans="1:13" ht="15.75" x14ac:dyDescent="0.25">
      <c r="A57" s="465"/>
      <c r="B57" s="465"/>
      <c r="C57" s="76" t="s">
        <v>431</v>
      </c>
      <c r="D57" s="71"/>
      <c r="E57" s="202"/>
      <c r="F57" s="72" t="str">
        <f>IF(E57="","",ROUND(IF(OR('Quantification Tool'!B$6="A",'Quantification Tool'!B$6="B",'Quantification Tool'!B$6="Bc"),IF(E57&gt;=50,1, IF(E57&lt;30, E57*'Reference Standards'!#REF!+'Reference Standards'!#REF!, E57*'Reference Standards'!#REF!+'Reference Standards'!#REF!)), IF(E57&gt;=150,1,IF(E57&lt;45, E57^2*'Reference Standards'!S$220+E57*'Reference Standards'!S$221+'Reference Standards'!S$222, E57*'Reference Standards'!T$220+'Reference Standards'!T$221))),2))</f>
        <v/>
      </c>
      <c r="G57" s="551"/>
      <c r="H57" s="535"/>
      <c r="I57" s="523"/>
      <c r="J57" s="523"/>
      <c r="K57" s="523"/>
    </row>
    <row r="58" spans="1:13" ht="15.75" x14ac:dyDescent="0.25">
      <c r="A58" s="465"/>
      <c r="B58" s="465"/>
      <c r="C58" s="71" t="s">
        <v>128</v>
      </c>
      <c r="D58" s="71"/>
      <c r="E58" s="202"/>
      <c r="F58" s="72" t="str">
        <f>IF(E58="","",ROUND(IF(E58&gt;100,1,E58^2*'Reference Standards'!S$185+E58*'Reference Standards'!S$186+'Reference Standards'!S$187),2))</f>
        <v/>
      </c>
      <c r="G58" s="551"/>
      <c r="H58" s="535"/>
      <c r="I58" s="523"/>
      <c r="J58" s="523"/>
      <c r="K58" s="523"/>
    </row>
    <row r="59" spans="1:13" ht="15.75" x14ac:dyDescent="0.25">
      <c r="A59" s="465"/>
      <c r="B59" s="465"/>
      <c r="C59" s="71" t="s">
        <v>129</v>
      </c>
      <c r="D59" s="71"/>
      <c r="E59" s="202"/>
      <c r="F59" s="72" t="str">
        <f>IF(E59="","",ROUND(IF(E59&gt;100,1,E59^2*'Reference Standards'!S$185+E59*'Reference Standards'!S$186+'Reference Standards'!S$187),2))</f>
        <v/>
      </c>
      <c r="G59" s="551"/>
      <c r="H59" s="535"/>
      <c r="I59" s="523"/>
      <c r="J59" s="523"/>
      <c r="K59" s="523"/>
    </row>
    <row r="60" spans="1:13" ht="15.75" x14ac:dyDescent="0.25">
      <c r="A60" s="465"/>
      <c r="B60" s="465"/>
      <c r="C60" s="76" t="s">
        <v>165</v>
      </c>
      <c r="D60" s="71"/>
      <c r="E60" s="202"/>
      <c r="F60" s="72" t="str">
        <f>IF(E60="","",ROUND(IF(E60&gt;=300,0.5,E60*'Reference Standards'!S$253),2))</f>
        <v/>
      </c>
      <c r="G60" s="551"/>
      <c r="H60" s="535"/>
      <c r="I60" s="523"/>
      <c r="J60" s="523"/>
      <c r="K60" s="523"/>
      <c r="M60" s="21"/>
    </row>
    <row r="61" spans="1:13" ht="15.75" x14ac:dyDescent="0.25">
      <c r="A61" s="465"/>
      <c r="B61" s="466"/>
      <c r="C61" s="77" t="s">
        <v>166</v>
      </c>
      <c r="D61" s="79"/>
      <c r="E61" s="202"/>
      <c r="F61" s="72" t="str">
        <f>IF(E61="","",ROUND(IF(E61&gt;=300,0.5,E61*'Reference Standards'!S$253),2))</f>
        <v/>
      </c>
      <c r="G61" s="552"/>
      <c r="H61" s="535"/>
      <c r="I61" s="523"/>
      <c r="J61" s="523"/>
      <c r="K61" s="523"/>
    </row>
    <row r="62" spans="1:13" ht="15.75" x14ac:dyDescent="0.25">
      <c r="A62" s="465"/>
      <c r="B62" s="69" t="s">
        <v>130</v>
      </c>
      <c r="C62" s="89" t="s">
        <v>168</v>
      </c>
      <c r="D62" s="71"/>
      <c r="E62" s="53"/>
      <c r="F62" s="234" t="str">
        <f>IF(E62="","",IF('Quantification Tool'!B$9="Gravel",IF(E62&gt;0.1,1,IF(E62&lt;=0.01,0,ROUND(E62*'Reference Standards'!$S$289+'Reference Standards'!$S$290,2)))))</f>
        <v/>
      </c>
      <c r="G62" s="100" t="str">
        <f>IFERROR(AVERAGE(F62),"")</f>
        <v/>
      </c>
      <c r="H62" s="535"/>
      <c r="I62" s="523"/>
      <c r="J62" s="523"/>
      <c r="K62" s="523"/>
    </row>
    <row r="63" spans="1:13" ht="15.75" x14ac:dyDescent="0.25">
      <c r="A63" s="465"/>
      <c r="B63" s="464" t="s">
        <v>54</v>
      </c>
      <c r="C63" s="78" t="s">
        <v>55</v>
      </c>
      <c r="D63" s="78"/>
      <c r="E63" s="209"/>
      <c r="F63" s="299" t="str">
        <f>IF(E63="","",   IF(AND('Quantification Tool'!$B$6="E",'Quantification Tool'!$B$9="Gravel"),ROUND(IF(OR(E63&lt;=2.3,E63&gt;=10.1),0,IF(E63&lt;4,E63*'Reference Standards'!$S$325+'Reference Standards'!$S$326,IF(E63&lt;=7.5,1,E63*'Reference Standards'!$T$325+'Reference Standards'!$T$326))),2),    IF(AND('Quantification Tool'!$B$6="E",'Quantification Tool'!$B$9="Sand"),ROUND(IF(OR(E63&lt;3,E63&gt;6.7),0,IF(E63&lt;=5,1,E63*'Reference Standards'!$S$357+'Reference Standards'!$S$358)),2),    IF(AND('Quantification Tool'!$B$6="C",OR('Quantification Tool'!$B$9="Gravel",'Quantification Tool'!$B$9="Sand")),ROUND(IF(OR(E63&lt;=2.3,E63&gt;=8.1),0,IF(E63&lt;4,E63*'Reference Standards'!$S$391+'Reference Standards'!$S$392,IF(E63&lt;=5.5,1,E63*'Reference Standards'!$T$391+'Reference Standards'!$T$392))),2), IF(AND(OR('Quantification Tool'!$B$6="Bc",'Quantification Tool'!$B$6="B"),'Quantification Tool'!$B$9="Gravel"),ROUND(IF(E63&gt;=7.1,0,IF(E63&gt;4.5,E63*'Reference Standards'!$S$423+'Reference Standards'!$S$424,1)),2))))))</f>
        <v/>
      </c>
      <c r="G63" s="506" t="str">
        <f>IFERROR(AVERAGE(F63:F66),"")</f>
        <v/>
      </c>
      <c r="H63" s="535"/>
      <c r="I63" s="523"/>
      <c r="J63" s="523"/>
      <c r="K63" s="523"/>
    </row>
    <row r="64" spans="1:13" ht="15.75" x14ac:dyDescent="0.25">
      <c r="A64" s="465"/>
      <c r="B64" s="465"/>
      <c r="C64" s="71" t="s">
        <v>56</v>
      </c>
      <c r="D64" s="71"/>
      <c r="E64" s="208"/>
      <c r="F64" s="300" t="str">
        <f>IF(E64="","",IF(E64&lt;1.25,0,IF(E64&gt;=2.8,1,IF(AND(OR('Quantification Tool'!B$6="B", 'Quantification Tool'!B$6="Bc"),'Quantification Tool'!$B$9="Gravel"),ROUND(E64^2*'Reference Standards'!S$489+E64*'Reference Standards'!S$490+'Reference Standards'!S$491,2), IF(AND(OR('Quantification Tool'!B$6="C", 'Quantification Tool'!B$6="E"),OR('Quantification Tool'!$B$9="Gravel",'Quantification Tool'!$B$9="Sand")), ROUND(IF(E64&lt;=1.7,E64*'Reference Standards'!$S$457+'Reference Standards'!$S$458,E64*'Reference Standards'!$T$457+'Reference Standards'!$T$458),2)    )))))</f>
        <v/>
      </c>
      <c r="G64" s="507"/>
      <c r="H64" s="535"/>
      <c r="I64" s="523"/>
      <c r="J64" s="523"/>
      <c r="K64" s="523"/>
    </row>
    <row r="65" spans="1:12" ht="15.75" x14ac:dyDescent="0.25">
      <c r="A65" s="465"/>
      <c r="B65" s="465"/>
      <c r="C65" s="71" t="s">
        <v>423</v>
      </c>
      <c r="D65" s="71"/>
      <c r="E65" s="208"/>
      <c r="F65" s="296" t="str">
        <f>IF(E65="","",IF(AND('Quantification Tool'!$B$6="E",OR('Quantification Tool'!$B$9="Sand",'Quantification Tool'!$B$9="Gravel")), IF(OR(E65&lt;20,E65&gt;73),0,ROUND(IF(E65&lt;25,E65*'Reference Standards'!$S$526+'Reference Standards'!$S$527,IF(E65&lt;35,1,E65^2*'Reference Standards'!$T$525+E65*'Reference Standards'!$T$526+'Reference Standards'!$T$527)),2)),  IF(AND('Quantification Tool'!$B$6="C",OR('Quantification Tool'!$B$9="Sand",'Quantification Tool'!$B$9="Gravel")), IF(OR(E65&lt;19,E65&gt;63),0,ROUND(IF(E65&lt;43,E65*'Reference Standards'!$S$560+'Reference Standards'!$S$561,IF(E65&lt;52,1,E65*'Reference Standards'!$T$560+'Reference Standards'!$T$561)),2)),IF(AND(OR('Quantification Tool'!$B$6="B",'Quantification Tool'!$B$6="Bc"),'Quantification Tool'!$B$9="Gravel"), IF(OR(E65&lt;18,E65&gt;82),0,ROUND(IF(E65&lt;30,E65^2*'Reference Standards'!$S$594+E65*'Reference Standards'!$S$595+'Reference Standards'!$S$596,IF(E65&lt;41,1,E65*'Reference Standards'!$T$595+'Reference Standards'!$T$596)),2))   ))))</f>
        <v/>
      </c>
      <c r="G65" s="507"/>
      <c r="H65" s="535"/>
      <c r="I65" s="523"/>
      <c r="J65" s="523"/>
      <c r="K65" s="523"/>
    </row>
    <row r="66" spans="1:12" ht="15.75" x14ac:dyDescent="0.25">
      <c r="A66" s="465"/>
      <c r="B66" s="466"/>
      <c r="C66" s="76" t="s">
        <v>254</v>
      </c>
      <c r="D66" s="71"/>
      <c r="E66" s="210"/>
      <c r="F66" s="297" t="str">
        <f>IF(E66="","",IF(E66&gt;=1.6,0,IF(E66&lt;=1,1,ROUND('Reference Standards'!$S$626*E66^3+'Reference Standards'!$S$627*E66^2+'Reference Standards'!$S$628*E66+'Reference Standards'!$S$629,2))))</f>
        <v/>
      </c>
      <c r="G66" s="508"/>
      <c r="H66" s="535"/>
      <c r="I66" s="523"/>
      <c r="J66" s="523"/>
      <c r="K66" s="523"/>
      <c r="L66" s="13"/>
    </row>
    <row r="67" spans="1:12" ht="15.75" x14ac:dyDescent="0.25">
      <c r="A67" s="466"/>
      <c r="B67" s="292" t="s">
        <v>58</v>
      </c>
      <c r="C67" s="305" t="s">
        <v>57</v>
      </c>
      <c r="D67" s="306"/>
      <c r="E67" s="203"/>
      <c r="F67" s="80" t="str">
        <f>IF(E67="","",IF(AND('Quantification Tool'!B$6="E",'Quantification Tool'!$B$9="Sand",'Quantification Tool'!$B$17="Unconfined Alluvial"),ROUND(IF(OR(E67&gt;1.8,E67&lt;1.3),0,IF(E67&lt;=1.6,1,E67*'Reference Standards'!S$660+'Reference Standards'!S$661)),2),    IF('Quantification Tool'!$B$17="Unconfined Alluvial",ROUND(IF(OR(E67&lt;1.2, E67&gt;1.5),0,IF(E67&lt;=1.4,1,E67*'Reference Standards'!$S$693+'Reference Standards'!$S$694)),2), IF('Quantification Tool'!$B$17="Confined Alluvial",ROUND(IF(E67&lt;1.15,0,IF(E67&lt;=1.4,E67*'Reference Standards'!$S$722+'Reference Standards'!$S$723,1)),2),  IF('Quantification Tool'!$B$17="Colluvial",ROUND(IF(E67&gt;1.3,0,IF(E67&gt;1.2,E67*'Reference Standards'!$S$753+'Reference Standards'!$S$754,1)),2) )))))</f>
        <v/>
      </c>
      <c r="G67" s="102" t="str">
        <f>IFERROR(AVERAGE(F67),"")</f>
        <v/>
      </c>
      <c r="H67" s="535"/>
      <c r="I67" s="523"/>
      <c r="J67" s="523"/>
      <c r="K67" s="523"/>
      <c r="L67" s="13"/>
    </row>
    <row r="68" spans="1:12" ht="15.75" x14ac:dyDescent="0.25">
      <c r="A68" s="527" t="s">
        <v>61</v>
      </c>
      <c r="B68" s="83" t="s">
        <v>103</v>
      </c>
      <c r="C68" s="87" t="s">
        <v>427</v>
      </c>
      <c r="D68" s="87"/>
      <c r="E68" s="53"/>
      <c r="F68" s="82" t="str">
        <f>IF(E68="","",ROUND(IF(E68&gt;=942,0,IF(E68&lt;=487,E68*'Reference Standards'!AB$15+'Reference Standards'!AB$16,E68*'Reference Standards'!$AC$15+'Reference Standards'!$AC$16)),2))</f>
        <v/>
      </c>
      <c r="G68" s="103" t="str">
        <f>IFERROR(AVERAGE(F68),"")</f>
        <v/>
      </c>
      <c r="H68" s="555" t="str">
        <f>IFERROR(ROUND(AVERAGE(G68:G71),2),"")</f>
        <v/>
      </c>
      <c r="I68" s="569" t="str">
        <f>IF(H68="","",IF(H68&gt;0.69,"Functioning",IF(H68&gt;0.29,"Functioning At Risk",IF(H68&gt;-1,"Not Functioning"))))</f>
        <v/>
      </c>
      <c r="J68" s="523"/>
      <c r="K68" s="523"/>
      <c r="L68" s="21"/>
    </row>
    <row r="69" spans="1:12" ht="15.75" x14ac:dyDescent="0.25">
      <c r="A69" s="528"/>
      <c r="B69" s="399" t="s">
        <v>476</v>
      </c>
      <c r="C69" s="81" t="s">
        <v>457</v>
      </c>
      <c r="D69" s="81"/>
      <c r="E69" s="203"/>
      <c r="F69" s="85" t="str">
        <f>IF(E69="","",IF(OR('Quantification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June")),IF(E69&gt;93,0,IF(E69&lt;13,1,ROUND('Reference Standards'!$AB$53*E69^2+'Reference Standards'!$AB$54*E69+'Reference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Tool'!$B$7="73b"),IF(E69&gt;94,0,IF(E69&lt;17,1,ROUND('Reference Standards'!$AC$53*E69^2+'Reference Standards'!$AC$54*E69+'Reference Standards'!$AC$55,2))),    IF(OR(AND(OR('Quantification Tool'!$B$7="68b",'Quantification Tool'!$B$7="71i"),'Quantification Tool'!$B$8&gt;2), 'Quantification Tool'!$B$7="71e"),IF(E69&gt;91,0,IF(E69&lt;24,1,ROUND('Reference Standards'!$AD$53*E69^2+'Reference Standards'!$AD$54*E69+'Reference Standards'!$AD$55,2))),  IF(OR(AND(OR('Quantification Tool'!$B$7="71f",'Quantification Tool'!$B$7="71g",'Quantification Tool'!$B$7="71h",'Quantification Tool'!$B$7="71i"),'Quantification Tool'!$B$8&lt;=2), AND('Quantification Tool'!$B$7="74a",'Quantification Tool'!$B$8&gt;2)),IF(E69&gt;95,0,IF(E69&lt;=36,1,ROUND('Reference Standards'!$AE$53*E69^2+'Reference Standards'!$AE$54*E69+'Reference Standards'!$AE$55,2))))))))</f>
        <v/>
      </c>
      <c r="G69" s="295" t="str">
        <f>IFERROR(AVERAGE(F69:F69),"")</f>
        <v/>
      </c>
      <c r="H69" s="556"/>
      <c r="I69" s="570"/>
      <c r="J69" s="523"/>
      <c r="K69" s="523"/>
      <c r="L69" s="21"/>
    </row>
    <row r="70" spans="1:12" ht="15.75" x14ac:dyDescent="0.25">
      <c r="A70" s="528"/>
      <c r="B70" s="83" t="s">
        <v>93</v>
      </c>
      <c r="C70" s="84" t="s">
        <v>326</v>
      </c>
      <c r="D70" s="84"/>
      <c r="E70" s="202"/>
      <c r="F70" s="85" t="str">
        <f>IF(E70="","",IF(OR('Quantification Tool'!$B$7="66e",'Quantification Tool'!$B$7="66f",'Quantification Tool'!$B$7="66g"), ROUND(IF(E70&gt;=0.61,0,IF(E70&lt;=0.01,1,IF(E70&lt;=0.06,E70*'Reference Standards'!$AD$197+'Reference Standards'!$AD$198,E70^2*'Reference Standards'!$AB$196+E70*'Reference Standards'!$AB$197+'Reference Standards'!$AB$198))),2),  IF('Quantification Tool'!$B$7="68b", ROUND(IF(E70&gt;=1.1,0,IF(E70&lt;=0.17,1,IF(E70&lt;=0.22,E70*'Reference Standards'!$AE$197+'Reference Standards'!$AE$198,E70^2*'Reference Standards'!$AC$196+E70*'Reference Standards'!$AC$197+'Reference Standards'!$AC$198))),2),IF('Quantification Tool'!$B$8&lt;=2.5,   IF('Quantification Tool'!$B$7="69de",ROUND(IF(E70&gt;=0.22,0,IF(E70&lt;=0.01,1,E70^2*'Reference Standards'!$AB$90+E70*'Reference Standards'!$AB$91+'Reference Standards'!$AB$92)),2),   IF('Quantification Tool'!$B$7="68c",ROUND(IF(E70&gt;=0.87,0,IF(E70&lt;=0.01,1,E70^2*'Reference Standards'!$AC$90+E70*'Reference Standards'!$AC$91+'Reference Standards'!$AC$92)),2),   IF('Quantification Tool'!$B$7="68a",ROUND(IF(E70&gt;=0.81,0,IF(E70&lt;=0.01,1,E70^2*'Reference Standards'!$AD$90+E70*'Reference Standards'!$AD$91+'Reference Standards'!$AD$92)),2),   IF('Quantification Tool'!$B$7="65abei",ROUND(IF(E70&gt;=0.67,0,IF(E70&lt;=0.01,1,IF(E70&lt;=0.18,E70*'Reference Standards'!$AG$91+'Reference Standards'!$AG$92,E70*'Reference Standards'!$AE$91+'Reference Standards'!$AE$92))),2),   IF('Quantification Tool'!$B$7="65j",ROUND(IF(E70&gt;=0.32,0,IF(E70&lt;=0.01,1,IF(E70&lt;=0.25,E70*'Reference Standards'!$AH$91+'Reference Standards'!$AH$92,E70*'Reference Standards'!$AF$91+'Reference Standards'!$AF$92))),2),   IF('Quantification Tool'!$B$7="71f",ROUND(IF(E70&gt;=3,0,IF(E70&lt;=0,1,IF(E70&lt;=0.01,0.7,E70^2*'Reference Standards'!$AB$126+E70*'Reference Standards'!$AB$127+'Reference Standards'!$AB$128))),2),   IF('Quantification Tool'!$B$7="74a",ROUND(IF(E70&gt;=0.14,0,IF(E70&lt;=0.01,1,IF(E70&lt;=0.02,0.7,E70^2*'Reference Standards'!$AC$126+E70*'Reference Standards'!$AC$127+'Reference Standards'!$AC$128))),2),   IF(OR('Quantification Tool'!$B$7="67fhi",'Quantification Tool'!$B$7="67g"),ROUND(IF(E70&gt;=1.9,0,IF(E70&lt;=0.01,1,IF(E70&lt;=0.05,E70*'Reference Standards'!$AF$127+'Reference Standards'!$AF$128,E70^2*'Reference Standards'!$AD$126+E70*'Reference Standards'!$AD$127+'Reference Standards'!$AD$128))),2),   IF('Quantification Tool'!$B$7="73a",ROUND(IF(E70&gt;=1.44,0,IF(E70&lt;=0.01,1,IF(E70&lt;=0.12,E70*'Reference Standards'!$AG$127+'Reference Standards'!$AG$128,E70^2*'Reference Standards'!$AE$126+E70*'Reference Standards'!$AE$127+'Reference Standards'!$AE$128))),2),   IF('Quantification Tool'!$B$7="66d",ROUND(IF(E70&gt;=0.46,0,IF(E70&lt;=0.02,1,IF(E70&lt;=0.08,E70*'Reference Standards'!$AF$163+'Reference Standards'!$AF$164,E70^2*'Reference Standards'!$AB$162+E70*'Reference Standards'!$AB$163+'Reference Standards'!$AB$164))),2),   IF(OR('Quantification Tool'!$B$7="71g",'Quantification Tool'!$B$7="71h",'Quantification Tool'!$B$7="71i"),ROUND(IF(E70&gt;=3,0,IF(E70&lt;=0.06,1,IF(E70&lt;=0.24,E70*'Reference Standards'!$AG$163+'Reference Standards'!$AG$164, E70^2*'Reference Standards'!$AC$162+E70*'Reference Standards'!$AC$163+'Reference Standards'!$AC$164))),2),   IF('Quantification Tool'!$B$7="74b",ROUND(IF(E70&gt;=1.3,0,IF(E70&lt;=0.29,1,IF(E70&lt;=0.48,E70*'Reference Standards'!$AH$163+'Reference Standards'!$AH$164,E70^2*'Reference Standards'!$AD$162+E70*'Reference Standards'!$AD$163+'Reference Standards'!$AD$164))),2),   IF('Quantification Tool'!$B$7="71e",ROUND(IF(E70&gt;=4.3,0,IF(E70&lt;=0.53,1,IF(E70&lt;=0.67,E70*'Reference Standards'!$AI$163+'Reference Standards'!$AI$164,E70^2*'Reference Standards'!$AE$162+E70*'Reference Standards'!$AE$163+'Reference Standards'!$AE$164))),2)       ))))))))))))),IF('Quantification Tool'!$B$8&gt;2.5,    IF('Quantification Tool'!$B$7="73a",ROUND(IF(E70&gt;=0.55,0,IF(E70&lt;=0,1,E70^2*'Reference Standards'!$AB$232+E70*'Reference Standards'!$AB$233+'Reference Standards'!$AB$234)),2),   IF('Quantification Tool'!$B$7="68a",ROUND(IF(E70&gt;=0.54,0,IF(E70&lt;=0,1, IF(E70&lt;=0.01,0.85, E70^2*'Reference Standards'!$AC$232+E70*'Reference Standards'!$AC$233+'Reference Standards'!$AC$234))),2),   IF('Quantification Tool'!$B$7="74a",ROUND(IF(E70&gt;=0.47,0,IF(E70&lt;=0.01,1, IF(E70&lt;=0.02,0.7, E70^2*'Reference Standards'!$AD$232+E70*'Reference Standards'!$AD$233+'Reference Standards'!$AD$234))),2),    IF('Quantification Tool'!$B$7="69de",ROUND(IF(E70&gt;=0.26,0,IF(E70&lt;=0.01,1, IF(E70&lt;=0.02,0.85, E70^2*'Reference Standards'!$AE$232+E70*'Reference Standards'!$AE$233+'Reference Standards'!$AE$234))),2),   IF('Quantification Tool'!$B$7="71f",ROUND(IF(E70&gt;=0.87,0,IF(E70&lt;=0.01,1,IF(E70&lt;=0.04,E70*'Reference Standards'!$AF$269+'Reference Standards'!$AF$270,E70^2*'Reference Standards'!$AB$268+E70*'Reference Standards'!$AB$269+'Reference Standards'!$AB$270))),2),  IF('Quantification Tool'!$B$7="65abei",ROUND(IF(E70&gt;=0.82,0,IF(E70&lt;=0.01,1,IF(E70&lt;=0.06,E70*'Reference Standards'!$AG$269+'Reference Standards'!$AG$270,E70^2*'Reference Standards'!$AC$268+E70*'Reference Standards'!$AC$269+'Reference Standards'!$AC$270))),2),  IF('Quantification Tool'!$B$7="65j",ROUND(IF(E70&gt;=0.33,0,IF(E70&lt;=0.03,1,IF(E70&lt;=0.09,E70*'Reference Standards'!$AH$269+'Reference Standards'!$AH$270,E70^2*'Reference Standards'!$AD$268+E70*'Reference Standards'!$AD$269+'Reference Standards'!$AD$270))),2),  IF('Quantification Tool'!$B$7="68c",ROUND(IF(E70&gt;=0.7,0,IF(E70&lt;=0.07,1,IF(E70&lt;=0.12,E70*'Reference Standards'!$AI$269+'Reference Standards'!$AI$270,E70^2*'Reference Standards'!$AE$268+E70*'Reference Standards'!$AE$269+'Reference Standards'!$AE$270))),2),   IF(OR('Quantification Tool'!$B$7="67fhi",'Quantification Tool'!$B$7="67g"),ROUND(IF(E70&gt;=1.8,0,IF(E70&lt;=0.08,1,IF(E70&lt;=0.2,E70*'Reference Standards'!$AF$306+'Reference Standards'!$AF$307,E70^2*'Reference Standards'!$AB$305+E70*'Reference Standards'!$AB$306+'Reference Standards'!$AB$307))),2),   IF('Quantification Tool'!$B$7="74b",ROUND(IF(E70&gt;=0.96,0,IF(E70&lt;=0.12,1,IF(E70&lt;=0.16,E70*'Reference Standards'!$AG$306+'Reference Standards'!$AG$307,E70^2*'Reference Standards'!$AC$305+E70*'Reference Standards'!$AC$306+'Reference Standards'!$AC$307))),2),   IF('Quantification Tool'!$B$7="66d",ROUND(IF(E70&gt;=0.75,0,IF(E70&lt;=0.13,1,IF(E70&lt;=0.2,E70*'Reference Standards'!$AH$306+'Reference Standards'!$AH$307,E70^2*'Reference Standards'!$AD$305+E70*'Reference Standards'!$AD$306+'Reference Standards'!$AD$307))),2),    IF(OR('Quantification Tool'!$B$7="71g",'Quantification Tool'!$B$7="71h",'Quantification Tool'!$B$7="71i"),ROUND(IF(E70&gt;=1.68,0,IF(E70&lt;=0.08,1,IF(E70&lt;=0.23,E70*'Reference Standards'!$AI$306+'Reference Standards'!$AI$307,E70^2*'Reference Standards'!$AE$305+E70*'Reference Standards'!$AE$306+'Reference Standards'!$AE$307))),2),   IF('Quantification Tool'!$B$7="71e",ROUND(IF(E70&gt;=5.3,0,IF(E70&lt;=0.94,1,IF(E70&lt;=1.4,E70*'Reference Standards'!$AF$310+'Reference Standards'!$AF$311,E70^2*'Reference Standards'!$AB$309+E70*'Reference Standards'!$AB$310+'Reference Standards'!$AB$311))),2))    )))))))))))))))))</f>
        <v/>
      </c>
      <c r="G70" s="104" t="str">
        <f>IFERROR(AVERAGE(F70),"")</f>
        <v/>
      </c>
      <c r="H70" s="556"/>
      <c r="I70" s="570"/>
      <c r="J70" s="523"/>
      <c r="K70" s="523"/>
      <c r="L70" s="21"/>
    </row>
    <row r="71" spans="1:12" ht="15.75" x14ac:dyDescent="0.25">
      <c r="A71" s="529"/>
      <c r="B71" s="293" t="s">
        <v>94</v>
      </c>
      <c r="C71" s="81" t="s">
        <v>325</v>
      </c>
      <c r="D71" s="81"/>
      <c r="E71" s="167"/>
      <c r="F71" s="82" t="str">
        <f>IF(E71="","",IF('Quantification Tool'!$B$8&gt;2.5,IF(OR('Quantification Tool'!$B$7="71h",'Quantification Tool'!$B$7="71i",'Quantification Tool'!$B$7="73a",'Quantification Tool'!$B$7="74a"),IF(E71&lt;=0.01,1,IF(OR('Quantification Tool'!$B$7="71h",'Quantification Tool'!$B$7="71i"),IF(E71&gt;0.37,0,ROUND(IF(E71&gt;0.03,'Reference Standards'!$AB$425*E71^2+'Reference Standards'!$AB$426*E71+'Reference Standards'!$AB$427,'Reference Standards'!$AF$426*E71+'Reference Standards'!$AF$427),2)),  IF('Quantification Tool'!$B$7="73a",IF(E71&gt;0.405,0,ROUND(IF(E71&gt;0.046,'Reference Standards'!$AC$425*E71^2+'Reference Standards'!$AC$426*E71+'Reference Standards'!$AC$427,'Reference Standards'!$AG$426*E71+'Reference Standards'!$AG$427),2)),IF('Quantification Tool'!$B$7="74a",IF(E71&gt;0.3,0,ROUND(IF(E71&gt;0.052,'Reference Standards'!$AD$425*E71^2+'Reference Standards'!$AD$426*E71+'Reference Standards'!$AD$427,'Reference Standards'!$AH$426*E71+'Reference Standards'!$AH$427),2)))))),   IF(E71&lt;=0.002,1,IF(OR('Quantification Tool'!$B$7="66d",'Quantification Tool'!$B$7="66e",'Quantification Tool'!$B$7="66g"),IF(E71&gt;0.053,0,ROUND(E71^2*'Reference Standards'!$AB$347+E71*'Reference Standards'!$AB$348+'Reference Standards'!$AB$349,2)), IF('Quantification Tool'!$B$7="68b",IF(E71&gt;0.05,0,ROUND(E71^2*'Reference Standards'!$AC$347+E71*'Reference Standards'!$AC$348+'Reference Standards'!$AC$349,2)),  IF(OR('Quantification Tool'!$B$7="68a",'Quantification Tool'!$B$7="68c"),IF(E71&gt;0.07,0,ROUND(E71^2*'Reference Standards'!$AD$347+E71*'Reference Standards'!$AD$348+'Reference Standards'!$AD$349,2)), IF(OR('Quantification Tool'!$B$7="71f",'Quantification Tool'!$B$7="71g"),IF(E71&gt;0.13,0,ROUND(IF(E71&gt;0.042,E71*'Reference Standards'!$AE$348+'Reference Standards'!$AE$349,E71*'Reference Standards'!$AF$348+'Reference Standards'!$AF$349),2)), IF('Quantification Tool'!$B$7="67fhi",IF(E71&gt;0.16,0,ROUND(E71^2*'Reference Standards'!$AG$347+E71*'Reference Standards'!$AG$348+'Reference Standards'!$AG$349,2)),  IF('Quantification Tool'!$B$7="65j",IF(E71&gt;0.035,0,ROUND(IF(E71&lt;=0.003,0.7,E71^2*'Reference Standards'!$AB$387+E71*'Reference Standards'!$AB$388+'Reference Standards'!$AB$389),2)),IF('Quantification Tool'!$B$7="69de",IF(E71&gt;0.037,0,ROUND(IF(E71&lt;=0.003,0.7,E71^2*'Reference Standards'!$AC$387+E71*'Reference Standards'!$AC$388+'Reference Standards'!$AC$389),2)),IF('Quantification Tool'!$B$7="71e",IF(E71&gt;0.23,0,ROUND(IF(E71&lt;=0.003,0.7,E71^2*'Reference Standards'!$AD$387+E71*'Reference Standards'!$AD$388+'Reference Standards'!$AD$389),2)),IF('Quantification Tool'!$B$7="66f",IF(E71&gt;0.06,0,ROUND(IF(E71&lt;=0.003,0.85,IF(E71&lt;=0.004,0.7,E71^2*'Reference Standards'!$AE$387+E71*'Reference Standards'!$AE$388+'Reference Standards'!$AE$389)),2)),IF('Quantification Tool'!$B$7="67g",IF(E71&gt;0.11,0,ROUND(IF(E71&lt;=0.01,E71*'Reference Standards'!$AH$388+'Reference Standards'!$AH$389, E71^2*'Reference Standards'!$AF$387+E71*'Reference Standards'!$AF$388+'Reference Standards'!$AF$389),2)),IF('Quantification Tool'!$B$7="74b",IF(E71&gt;0.49,0,ROUND(IF(E71&lt;=0.01,E71*'Reference Standards'!$AH$388+'Reference Standards'!$AH$389, E71^2*'Reference Standards'!$AG$387+E71*'Reference Standards'!$AG$388+'Reference Standards'!$AG$389),2)),IF('Quantification Tool'!$B$7="65abei",IF(E71&gt;0.199,0,ROUND(IF(E71&lt;=0.01,E71*'Reference Standards'!$AI$426+'Reference Standards'!$AI$427, E71^2*'Reference Standards'!$AE$425+E71*'Reference Standards'!$AE$426+'Reference Standards'!$AE$427),2))    )))))))))))))),      IF('Quantification Tool'!$B$8&lt;=2.5, IF(OR('Quantification Tool'!$B$7="66d",'Quantification Tool'!$B$7="66e",'Quantification Tool'!$B$7="66g"),IF(E71&gt;0.05,0,ROUND(IF(E71&lt;=0.002,1,IF(E71&lt;=0.005,E71*'Reference Standards'!$AF$464+'Reference Standards'!$AF$465, E71^2*'Reference Standards'!$AB$463+E71*'Reference Standards'!$AB$464+'Reference Standards'!$AB$465)),2)), IF('Quantification Tool'!$B$7="67fhi",IF(E71&gt;0.1,0,ROUND(IF(E71&lt;=0.002,1,IF(E71&lt;=0.006,E71*'Reference Standards'!$AG$464+'Reference Standards'!$AG$465, E71^2*'Reference Standards'!$AC$463+E71*'Reference Standards'!$AC$464+'Reference Standards'!$AC$465)),2)), IF('Quantification Tool'!$B$7="65abei",IF(E71&gt;0.13,0,ROUND(IF(E71&lt;=0.003,1,IF(E71&lt;=0.008,E71*'Reference Standards'!$AH$464+'Reference Standards'!$AH$465, E71^2*'Reference Standards'!$AD$463+E71*'Reference Standards'!$AD$464+'Reference Standards'!$AD$465)),2)), IF('Quantification Tool'!$B$7="68b",IF(E71&gt;0.043,0,ROUND(IF(E71&lt;=0.004,1, IF(E71&lt;=0.005,0.7, E71^2*'Reference Standards'!$AE$463+E71*'Reference Standards'!$AE$464+'Reference Standards'!$AE$465)),2)), IF('Quantification Tool'!$B$7="69de",IF(E71&gt;=0.034,0,ROUND(IF(E71&lt;=0.003,1, IF(E71&lt;=0.006,E71*'Reference Standards'!$AG$500+'Reference Standards'!$AG$501, E71*'Reference Standards'!$AB$500+'Reference Standards'!$AB$501)),2)), IF(OR('Quantification Tool'!$B$7="68a",'Quantification Tool'!$B$7="68c"),IF(E71&gt;0.202,0,ROUND(IF(E71&lt;=0.003,1, IF(E71&lt;=0.006,E71*'Reference Standards'!$AG$500+'Reference Standards'!$AG$501, IF(E71&gt;=0.04,E71*'Reference Standards'!$AC$500+'Reference Standards'!$AC$501,E71*'Reference Standards'!$AE$500+'Reference Standards'!$AE$501))),2)), IF(OR('Quantification Tool'!$B$7="71f",'Quantification Tool'!$B$7="71g"),IF(E71&gt;0.631,0,ROUND(IF(E71&lt;=0.003,1, IF(E71&lt;=0.006,E71*'Reference Standards'!$AG$500+'Reference Standards'!$AG$501, IF(E71&gt;=0.17,E71*'Reference Standards'!$AD$500+'Reference Standards'!$AD$501,E71*'Reference Standards'!$AF$500+'Reference Standards'!$AF$501))),2)),   IF('Quantification Tool'!$B$7="71e",IF(E71&gt;1.23,0,ROUND(IF(E71&lt;=0.004,1,IF(E71&lt;=0.006,E71*'Reference Standards'!$AF$538+'Reference Standards'!$AF$539, E71^2*'Reference Standards'!$AB$537+E71*'Reference Standards'!$AB$538+'Reference Standards'!$AB$539)),2)), IF('Quantification Tool'!$B$7="67g",IF(E71&gt;0.11,0,ROUND(IF(E71&lt;=0.006,1,IF(E71&lt;=0.011,E71*'Reference Standards'!$AG$538+'Reference Standards'!$AG$539, E71^2*'Reference Standards'!$AC$537+E71*'Reference Standards'!$AC$538+'Reference Standards'!$AC$539)),2)), IF('Quantification Tool'!$B$7="65j",IF(E71&gt;0.046,0,ROUND(IF(E71&lt;=0.007,1,IF(E71&lt;=0.012,E71*'Reference Standards'!$AH$538+'Reference Standards'!$AH$539, E71^2*'Reference Standards'!$AD$537+E71*'Reference Standards'!$AD$538+'Reference Standards'!$AD$539)),2)), IF('Quantification Tool'!$B$7="66f",IF(E71&gt;0.081,0,ROUND(IF(E71&lt;=0.008,1,IF(E71&lt;=0.011,E71*'Reference Standards'!$AI$538+'Reference Standards'!$AI$539, E71^2*'Reference Standards'!$AE$537+E71*'Reference Standards'!$AE$538+'Reference Standards'!$AE$539)),2)), IF(OR('Quantification Tool'!$B$7="71h",'Quantification Tool'!$B$7="71i"),IF(E71&gt;0.37,0,ROUND(IF(E71&lt;=0.013,1,IF(E71&lt;=0.032,E71*'Reference Standards'!$AH$576+'Reference Standards'!$AH$577, IF(E71&lt;=0.3,E71*'Reference Standards'!$AF$576+'Reference Standards'!$AF$577,E71*'Reference Standards'!$AB$576+'Reference Standards'!$AB$577))),2)), IF('Quantification Tool'!$B$7="73a",IF(E71&gt;0.448,0,ROUND(IF(E71&lt;=0.071,1,IF(E71&lt;=0.086,E71*'Reference Standards'!$AJ$576+'Reference Standards'!$AJ$577, IF(E71&lt;=0.165,E71*'Reference Standards'!$AG$576+'Reference Standards'!$AG$577,E71*'Reference Standards'!$AE$576+'Reference Standards'!$AE$577))),2)),  IF('Quantification Tool'!$B$7="74b",IF(E71&gt;0.43,0,ROUND(IF(E71&lt;=0.018,1,IF(E71&lt;=0.019,0.85, IF(E71&lt;=0.02,0.7, E71^2*'Reference Standards'!$AC$575+E71*'Reference Standards'!$AC$576+'Reference Standards'!$AC$577))),2)), IF('Quantification Tool'!$B$7="74a",IF(E71&gt;0.217,0,ROUND(IF(E71&lt;=0.02,1,IF(E71&lt;=0.033,E71*'Reference Standards'!$AI$576+'Reference Standards'!$AI$577, E71^2*'Reference Standards'!$AD$575+E71*'Reference Standards'!$AD$576+'Reference Standards'!$AD$577)),2))     ))))))))))))))))))</f>
        <v/>
      </c>
      <c r="G71" s="105" t="str">
        <f>IFERROR(AVERAGE(F71),"")</f>
        <v/>
      </c>
      <c r="H71" s="557"/>
      <c r="I71" s="571"/>
      <c r="J71" s="523"/>
      <c r="K71" s="523"/>
      <c r="L71" s="21"/>
    </row>
    <row r="72" spans="1:12" ht="15.75" x14ac:dyDescent="0.25">
      <c r="A72" s="538" t="s">
        <v>62</v>
      </c>
      <c r="B72" s="517" t="s">
        <v>432</v>
      </c>
      <c r="C72" s="154" t="s">
        <v>419</v>
      </c>
      <c r="D72" s="155"/>
      <c r="E72" s="209"/>
      <c r="F72" s="219" t="str">
        <f>IF(E72="","",IF(OR('Quantification Tool'!B$7="73a",'Quantification Tool'!B$7="73b"),IF(E72&lt;1,0,IF(E72&gt;=30,1,ROUND(IF(E72&lt;22,'Reference Standards'!$AL$16*E72+'Reference Standards'!$AL$17,'Reference Standards'!$AM$16*E72+'Reference Standards'!$AM$17),2))), IF(E72&lt;1,0, IF(E72&gt;=42,1, ROUND(IF(E72&lt;32,'Reference Standards'!$AN$16*E72+'Reference Standards'!$AN$17,'Reference Standards'!$AO$16*E72+'Reference Standards'!$AO$17),2)))))</f>
        <v/>
      </c>
      <c r="G72" s="558" t="str">
        <f>IFERROR(AVERAGE(F72:F75),"")</f>
        <v/>
      </c>
      <c r="H72" s="537" t="str">
        <f>IFERROR(ROUND(AVERAGE(G72:G77),2),"")</f>
        <v/>
      </c>
      <c r="I72" s="572" t="str">
        <f>IF(H72="","",IF(H72&gt;0.69,"Functioning",IF(H72&gt;0.29,"Functioning At Risk",IF(H72&gt;-1,"Not Functioning"))))</f>
        <v/>
      </c>
      <c r="J72" s="523"/>
      <c r="K72" s="523"/>
      <c r="L72" s="21"/>
    </row>
    <row r="73" spans="1:12" ht="15.75" x14ac:dyDescent="0.25">
      <c r="A73" s="539"/>
      <c r="B73" s="518"/>
      <c r="C73" s="217" t="s">
        <v>424</v>
      </c>
      <c r="D73" s="218"/>
      <c r="E73" s="208"/>
      <c r="F73" s="221" t="str">
        <f>IF(E73="","",IF(AND('Quantification Tool'!$B$7="74b",'Quantification Tool'!$B$8&lt;=2),IF(E73&lt;0,0,IF(E73&gt;15.6,0.69,ROUND('Reference Standards'!$AL$54*E73^2+'Reference Standards'!$AL$55*E73+'Reference Standards'!$AL$56,2))),IF(AND('Quantification Tool'!$B$7="65abei",'Quantification Tool'!$B$8&lt;=2),IF(E73&lt;0,0,IF(E73&gt;=20,0.69,ROUND('Reference Standards'!$AM$54*E73^2+'Reference Standards'!$AM$55*E73+'Reference Standards'!$AM$56,2))),IF(OR(AND('Quantification Tool'!$B$7="74a",'Quantification Tool'!$B$8&gt;2,'Quantification Tool'!$B$14="January - June"),AND('Quantification Tool'!$B$7="71i",'Quantification Tool'!$B$8&gt;2,'Quantification Tool'!$B$15="SQBANK")),IF(E73&lt;0,0,IF(E73&gt;24.7,0.69,ROUND('Reference Standards'!$AN$54*E73^2+'Reference Standards'!$AN$55*E73+'Reference Standards'!$AN$56,2))),IF(OR('Quantification Tool'!$B$7="74b",'Quantification Tool'!$B$7="65abei"),IF(E73&lt;0,0,IF(E73&gt;32.7,0.69,ROUND('Reference Standards'!$AO$54*E73^2+'Reference Standards'!$AO$55*E73+'Reference Standards'!$AO$56,2))),IF(AND('Quantification Tool'!$B$7="68b",'Quantification Tool'!$B$8&gt;2),IF(E73&lt;0,0,IF(E73&gt;41.2,0.69,ROUND('Reference Standards'!$AP$54*E73^2+'Reference Standards'!$AP$55*E73+'Reference Standards'!$AP$56,2))),IF(OR(AND('Quantification Tool'!$B$7="71i",'Quantification Tool'!$B$8&lt;=2),AND(OR('Quantification Tool'!$B$7="68c",'Quantification Tool'!$B$7="68d"),'Quantification Tool'!$B$14="January - June")),IF(E73&lt;0,0,IF(E73&gt;49.2,0.69,ROUND('Reference Standards'!$AL$94*E73^2+'Reference Standards'!$AL$95*E73+'Reference Standards'!$AL$96,2))),IF(OR(AND('Quantification Tool'!$B$7="68a",'Quantification Tool'!$B$14="January - June"),AND(OR('Quantification Tool'!$B$7="68c",'Quantification Tool'!$B$7="68d"),'Quantification Tool'!$B$14="July - December")),IF(E73&lt;0,0,IF(E73&gt;53.4,0.69,ROUND('Reference Standards'!$AM$94*E73^2+'Reference Standards'!$AM$95*E73+'Reference Standards'!$AM$96,2))),IF(OR(AND('Quantification Tool'!$B$7="71i",'Quantification Tool'!$B$8&gt;2,'Quantification Tool'!$B$15="SQKICK"),AND(OR('Quantification Tool'!$B$7="67fhi",'Quantification Tool'!$B$7="67g"),'Quantification Tool'!$B$8&lt;=2),'Quantification Tool'!$B$7="65j"),IF(E73&lt;0,0,IF(E73&gt;57.8,0.69,ROUND('Reference Standards'!$AN$94*E73^2+'Reference Standards'!$AN$95*E73+'Reference Standards'!$AN$96,2))),IF(OR(AND('Quantification Tool'!$B$7="74a",'Quantification Tool'!$B$8&gt;2,'Quantification Tool'!$B$14="July - December"),AND(OR('Quantification Tool'!$B$7="67fhi",'Quantification Tool'!$B$7="67g"),'Quantification Tool'!$B$8&gt;2),'Quantification Tool'!$B$7="69de"),IF(E73&lt;0,0,IF(E73&gt;62.5,0.69,ROUND('Reference Standards'!$AO$94*E73^2+'Reference Standards'!$AO$95*E73+'Reference Standards'!$AO$96,2))),  IF(OR('Quantification Tool'!$B$7="66d",'Quantification Tool'!$B$7="66e",'Quantification Tool'!$B$7="66ik",'Quantification Tool'!$B$7="71e",'Quantification Tool'!$B$7="71f",'Quantification Tool'!$B$7="71g",'Quantification Tool'!$B$7="71h"),IF(E73&lt;0,0,IF(E73&gt;66.5,0.69,ROUND('Reference Standards'!$AP$94*E73^2+'Reference Standards'!$AP$95*E73+'Reference Standards'!$AP$96,2))),IF(OR('Quantification Tool'!$B$7="66f",'Quantification Tool'!$B$7="66g",'Quantification Tool'!$B$7="66j",AND('Quantification Tool'!$B$7="68a",'Quantification Tool'!$B$14="July - December")), IF(E73&lt;0,0,IF(E73&gt;69,0.69,ROUND('Reference Standards'!$AQ$94*E73^2+'Reference Standards'!$AQ$95*E73+'Reference Standards'!$AQ$96,2))))   )))))))))))</f>
        <v/>
      </c>
      <c r="G73" s="558"/>
      <c r="H73" s="537"/>
      <c r="I73" s="572"/>
      <c r="J73" s="523"/>
      <c r="K73" s="523"/>
      <c r="L73" s="21"/>
    </row>
    <row r="74" spans="1:12" ht="15.75" x14ac:dyDescent="0.25">
      <c r="A74" s="539"/>
      <c r="B74" s="518"/>
      <c r="C74" s="217" t="s">
        <v>428</v>
      </c>
      <c r="D74" s="218"/>
      <c r="E74" s="208"/>
      <c r="F74" s="221" t="str">
        <f>IF(E74="","",IF(AND('Quantification Tool'!$B$7="74b",'Quantification Tool'!$B$8&lt;=2),IF(E74&lt;0,0,IF(E74&gt;8.1,0.69,ROUND('Reference Standards'!$AL$131*E74^2+'Reference Standards'!$AL$132*E74+'Reference Standards'!$AL$133,2))),IF(OR('Quantification Tool'!$B$7="73a",'Quantification Tool'!$B$7="73b"),IF(E74&lt;0,0,IF(E74&gt;=28,0.69,ROUND('Reference Standards'!$AM$131*E74^2+'Reference Standards'!$AM$132*E74+'Reference Standards'!$AM$133,2))),IF(AND('Quantification Tool'!$B$7="74a",'Quantification Tool'!$B$8&gt;2,'Quantification Tool'!$B$14="January - June"),IF(E74&lt;0,0,IF(E74&gt;=32.5,0.69,ROUND('Reference Standards'!$AN$131*E74^2+'Reference Standards'!$AN$132*E74+'Reference Standards'!$AN$133,2))),IF(AND('Quantification Tool'!$B$7="71i",'Quantification Tool'!$B$8&gt;2,'Quantification Tool'!$B$15="SQBANK"),IF(E74&lt;0,0,IF(E74&gt;=37,0.69,ROUND('Reference Standards'!$AO$131*E74^2+'Reference Standards'!$AO$132*E74+'Reference Standards'!$AO$133,2))),IF(OR(AND(OR('Quantification Tool'!$B$7="65abei",'Quantification Tool'!$B$7="74b"),'Quantification Tool'!$B$8&gt;2),AND('Quantification Tool'!$B$7="71i",'Quantification Tool'!$B$8&gt;2,'Quantification Tool'!$B$15="SQKICK")),IF(E74&lt;0,0,IF(E74&gt;42.6,0.69,ROUND('Reference Standards'!$AP$131*E74^2+'Reference Standards'!$AP$132*E74+'Reference Standards'!$AP$133,2))),     IF(OR(AND('Quantification Tool'!$B$7="65abei",'Quantification Tool'!$B$8&lt;=2),AND(OR('Quantification Tool'!$B$7="68c",'Quantification Tool'!$B$7="68d"),'Quantification Tool'!$B$14="July - December"),'Quantification Tool'!$B$7="71e"),IF(E74&lt;0,0,IF(E74&gt;=48,0.69,ROUND('Reference Standards'!$AL$171*E74^2+'Reference Standards'!$AL$172*E74+'Reference Standards'!$AL$173,2))),IF(OR('Quantification Tool'!$B$7="65j",'Quantification Tool'!$B$7="67fhi",'Quantification Tool'!$B$7="67g",AND('Quantification Tool'!$B$7="74a",'Quantification Tool'!$B$14="July - December",'Quantification Tool'!$B$8&gt;2),AND('Quantification Tool'!$B$7="71i",'Quantification Tool'!$B$8&lt;=2)),IF(E74&lt;0,0,IF(E74&gt;=53,0.69,ROUND('Reference Standards'!$AM$171*E74^2+'Reference Standards'!$AM$172*E74+'Reference Standards'!$AM$173,2))),IF(OR(AND(OR('Quantification Tool'!$B$7="68b",'Quantification Tool'!$B$7="71f",'Quantification Tool'!$B$7="71g",'Quantification Tool'!$B$7="71h"),'Quantification Tool'!$B$8&gt;2),'Quantification Tool'!$B$7="68a"),IF(E74&lt;0,0,IF(E74&gt;=57,0.69,ROUND('Reference Standards'!$AN$171*E74^2+'Reference Standards'!$AN$172*E74+'Reference Standards'!$AN$173,2))),IF(OR('Quantification Tool'!$B$7="66f",'Quantification Tool'!$B$7="66g",'Quantification Tool'!$B$7="66j",AND(OR('Quantification Tool'!$B$7="71f",'Quantification Tool'!$B$7="71g",'Quantification Tool'!$B$7="71h"),'Quantification Tool'!$B$8&lt;=2)),IF(E74&lt;0,0,IF(E74&gt;=60,0.69,ROUND('Reference Standards'!$AO$171*E74^2+'Reference Standards'!$AO$172*E74+'Reference Standards'!$AO$173,2))),  IF(OR('Quantification Tool'!$B$7="66d",'Quantification Tool'!$B$7="66e",'Quantification Tool'!$B$7="66ik", AND(OR('Quantification Tool'!$B$7="68c",'Quantification Tool'!$B$7="68d"),'Quantification Tool'!$B$14="January - June"),AND('Quantification Tool'!$B$7="69de",'Quantification Tool'!$B$14="July - December")),IF(E74&lt;0,0,IF(E74&gt;=67.5,0.69,ROUND('Reference Standards'!$AP$171*E74^2+'Reference Standards'!$AP$172*E74+'Reference Standards'!$AP$173,2))),IF(AND('Quantification Tool'!$B$7="69de",'Quantification Tool'!$B$14="January - June"), IF(E74&lt;0,0,IF(E74&gt;=72,0.69,ROUND('Reference Standards'!$AQ$171*E74^2+'Reference Standards'!$AQ$172*E74+'Reference Standards'!$AQ$173,2))))   )))))))))))</f>
        <v/>
      </c>
      <c r="G74" s="558"/>
      <c r="H74" s="537"/>
      <c r="I74" s="572"/>
      <c r="J74" s="523"/>
      <c r="K74" s="523"/>
      <c r="L74" s="21"/>
    </row>
    <row r="75" spans="1:12" ht="15.75" x14ac:dyDescent="0.25">
      <c r="A75" s="539"/>
      <c r="B75" s="519"/>
      <c r="C75" s="156" t="s">
        <v>425</v>
      </c>
      <c r="D75" s="88"/>
      <c r="E75" s="210"/>
      <c r="F75" s="221" t="str">
        <f>IF(E75="","",IF(OR('Quantification Tool'!$B$7="67fhi",'Quantification Tool'!$B$7="67g",'Quantification Tool'!$B$7="71e",'Quantification Tool'!$B$7="73a",'Quantification Tool'!$B$7="73b",AND(OR('Quantification Tool'!$B$7="71f",'Quantification Tool'!$B$7="71g",'Quantification Tool'!$B$7="71h"),'Quantification Tool'!$B$8&gt;2)),IF(E75&gt;100,0,IF(E75&lt;15,0.69,ROUND('Reference Standards'!$AL$208*E75^2+'Reference Standards'!$AL$209*E75+'Reference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),IF(E75&gt;100,0,IF(E75&lt;19,0.69,ROUND('Reference Standards'!$AM$208*E75^2+'Reference Standards'!$AM$209*E75+'Reference Standards'!$AM$210,2))),    IF(OR(AND('Quantification Tool'!$B$7="69de",'Quantification Tool'!$B$14="January - June"),AND('Quantification Tool'!$B$7="71i",'Quantification Tool'!$B$8&gt;2,'Quantification Tool'!$B$15="SQKICK" )),IF(E75&gt;100,0,IF(E75&lt;22,0.69,ROUND('Reference Standards'!$AN$208*E75^2+'Reference Standards'!$AN$209*E75+'Reference Standards'!$AN$210,2))),    IF(OR('Quantification Tool'!$B$7="65j",AND('Quantification Tool'!$B$7="68b",'Quantification Tool'!$B$8&gt;2)),IF(E75&gt;100,0,IF(E75&lt;24,0.69,ROUND('Reference Standards'!$AO$208*E75^2+'Reference Standards'!$AO$209*E75+'Reference Standards'!$AO$210,2))),    IF(AND(OR('Quantification Tool'!$B$7="65abei",'Quantification Tool'!$B$7="71f",'Quantification Tool'!$B$7="71g",'Quantification Tool'!$B$7="71h"),'Quantification Tool'!$B$8&lt;=2),IF(E75&gt;95,0,IF(E75&lt;33,0.69,ROUND('Reference Standards'!$AL$246*E75^2+'Reference Standards'!$AL$247*E75+'Reference Standards'!$AL$248,2))),   IF(AND(OR('Quantification Tool'!$B$7="65abei",'Quantification Tool'!$B$7="74b"),'Quantification Tool'!$B$8&gt;2),IF(E75&gt;97,0,IF(E75&lt;36,0.69,ROUND('Reference Standards'!$AM$246*E75^2+'Reference Standards'!$AM$247*E75+'Reference Standards'!$AM$248,2))),  IF(AND('Quantification Tool'!$B$7="74a",'Quantification Tool'!$B$14="January - June",'Quantification Tool'!$B$8&gt;2),IF(E75&gt;93,0,IF(E75&lt;52,0.69,ROUND('Reference Standards'!$AN$246*E75^2+'Reference Standards'!$AN$247*E75+'Reference Standards'!$AN$248,2))),   IF(AND('Quantification Tool'!$B$7="74b",'Quantification Tool'!$B$8&lt;=2),IF(E75&gt;97,0,IF(E75&lt;62,0.69,ROUND('Reference Standards'!$AO$246*E75^2+'Reference Standards'!$AO$247*E75+'Reference Standards'!$AO$248,2)))  )))))))))</f>
        <v/>
      </c>
      <c r="G75" s="558"/>
      <c r="H75" s="537"/>
      <c r="I75" s="572"/>
      <c r="J75" s="523"/>
      <c r="K75" s="523"/>
      <c r="L75" s="21"/>
    </row>
    <row r="76" spans="1:12" ht="15.75" x14ac:dyDescent="0.25">
      <c r="A76" s="539"/>
      <c r="B76" s="530" t="s">
        <v>86</v>
      </c>
      <c r="C76" s="154" t="s">
        <v>255</v>
      </c>
      <c r="D76" s="155"/>
      <c r="E76" s="209"/>
      <c r="F76" s="219" t="str">
        <f>IF(E76="","",IF(E76=1,0.15,IF(E76=3,0.5,IF(E76=5,0.85,0))))</f>
        <v/>
      </c>
      <c r="G76" s="531" t="str">
        <f>IFERROR(AVERAGE(F76:F77),"")</f>
        <v/>
      </c>
      <c r="H76" s="537"/>
      <c r="I76" s="572"/>
      <c r="J76" s="523"/>
      <c r="K76" s="523"/>
      <c r="L76" s="21"/>
    </row>
    <row r="77" spans="1:12" ht="15.75" x14ac:dyDescent="0.25">
      <c r="A77" s="540"/>
      <c r="B77" s="530"/>
      <c r="C77" s="156" t="s">
        <v>420</v>
      </c>
      <c r="D77" s="88"/>
      <c r="E77" s="210"/>
      <c r="F77" s="220" t="str">
        <f>IF(E77="","",IF(E77=1,0.15,IF(E77=3,0.5,IF(E77=5,0.85,0))))</f>
        <v/>
      </c>
      <c r="G77" s="532"/>
      <c r="H77" s="537"/>
      <c r="I77" s="572"/>
      <c r="J77" s="523"/>
      <c r="K77" s="523"/>
      <c r="L77" s="21"/>
    </row>
    <row r="78" spans="1:12" x14ac:dyDescent="0.25">
      <c r="L78" s="21"/>
    </row>
    <row r="79" spans="1:12" ht="21" x14ac:dyDescent="0.35">
      <c r="A79" s="188" t="s">
        <v>173</v>
      </c>
      <c r="B79" s="312"/>
      <c r="C79" s="315" t="s">
        <v>395</v>
      </c>
      <c r="D79" s="312"/>
      <c r="E79" s="313"/>
      <c r="F79" s="314"/>
      <c r="G79" s="450" t="s">
        <v>18</v>
      </c>
      <c r="H79" s="451"/>
      <c r="I79" s="451"/>
      <c r="J79" s="451"/>
      <c r="K79" s="452"/>
      <c r="L79" s="21"/>
    </row>
    <row r="80" spans="1:12" ht="15.75" x14ac:dyDescent="0.25">
      <c r="A80" s="176" t="s">
        <v>1</v>
      </c>
      <c r="B80" s="176" t="s">
        <v>2</v>
      </c>
      <c r="C80" s="498" t="s">
        <v>3</v>
      </c>
      <c r="D80" s="573"/>
      <c r="E80" s="176" t="s">
        <v>15</v>
      </c>
      <c r="F80" s="176" t="s">
        <v>16</v>
      </c>
      <c r="G80" s="176" t="s">
        <v>19</v>
      </c>
      <c r="H80" s="176" t="s">
        <v>20</v>
      </c>
      <c r="I80" s="176" t="s">
        <v>20</v>
      </c>
      <c r="J80" s="176" t="s">
        <v>21</v>
      </c>
      <c r="K80" s="60" t="s">
        <v>21</v>
      </c>
    </row>
    <row r="81" spans="1:11" ht="15.75" x14ac:dyDescent="0.25">
      <c r="A81" s="453" t="s">
        <v>68</v>
      </c>
      <c r="B81" s="294" t="s">
        <v>99</v>
      </c>
      <c r="C81" s="62" t="s">
        <v>421</v>
      </c>
      <c r="D81" s="62"/>
      <c r="E81" s="202"/>
      <c r="F81" s="173" t="str">
        <f>IF(E81="","",IF(E81&gt;78,0,IF(E81&lt;30,1,ROUND('Reference Standards'!C$14*E81^2+'Reference Standards'!C$15*E81+'Reference Standards'!C$16,2))))</f>
        <v/>
      </c>
      <c r="G81" s="101" t="str">
        <f>IFERROR(AVERAGE(F81),"")</f>
        <v/>
      </c>
      <c r="H81" s="460" t="str">
        <f>IFERROR(ROUND(AVERAGE(G81:G85),2),"")</f>
        <v/>
      </c>
      <c r="I81" s="572" t="str">
        <f>IF(H81="","",IF(H81&gt;0.69,"Functioning",IF(H81&gt;0.29,"Functioning At Risk",IF(H81&gt;-1,"Not Functioning"))))</f>
        <v/>
      </c>
      <c r="J81" s="523" t="str">
        <f>IF(AND(H81="",H86="",H88="",H107="",H111=""),"",ROUND((IF(H81="",0,H81)*0.2)+(IF(H86="",0,H86)*0.2)+(IF(H88="",0,H88)*0.2)+(IF(H107="",0,H107)*0.2)+(IF(H111="",0,H111)*0.2),2))</f>
        <v/>
      </c>
      <c r="K81" s="523" t="str">
        <f>IF(J81="","",IF(J81&lt;0.3, "Not Functioning",IF(OR(H81&lt;0.7,H86&lt;0.7,H88&lt;0.7,H107&lt;0.7,H111&lt;0.7),"Functioning At Risk",IF(J81&lt;0.7,"Functioning At Risk","Functioning"))))</f>
        <v/>
      </c>
    </row>
    <row r="82" spans="1:11" ht="15.75" x14ac:dyDescent="0.25">
      <c r="A82" s="454"/>
      <c r="B82" s="541" t="s">
        <v>154</v>
      </c>
      <c r="C82" s="170" t="s">
        <v>202</v>
      </c>
      <c r="D82" s="169"/>
      <c r="E82" s="167"/>
      <c r="F82" s="173" t="str">
        <f>IF(E82="","",IF(E82&gt;=1,1,IF(E82&lt;=0,0,ROUND(E82,2))))</f>
        <v/>
      </c>
      <c r="G82" s="544" t="str">
        <f>IFERROR(AVERAGE(F82:F85),"")</f>
        <v/>
      </c>
      <c r="H82" s="461"/>
      <c r="I82" s="572"/>
      <c r="J82" s="523"/>
      <c r="K82" s="523"/>
    </row>
    <row r="83" spans="1:11" ht="15.75" x14ac:dyDescent="0.25">
      <c r="A83" s="454"/>
      <c r="B83" s="542"/>
      <c r="C83" s="171" t="s">
        <v>155</v>
      </c>
      <c r="D83" s="62"/>
      <c r="E83" s="202"/>
      <c r="F83" s="63" t="str">
        <f>IF(E83="","",IF(E83&gt;3,0,IF(E83=0,1,ROUND('Reference Standards'!C$49*E83+'Reference Standards'!C$50,2))))</f>
        <v/>
      </c>
      <c r="G83" s="545"/>
      <c r="H83" s="461"/>
      <c r="I83" s="572"/>
      <c r="J83" s="523"/>
      <c r="K83" s="523"/>
    </row>
    <row r="84" spans="1:11" ht="15.75" x14ac:dyDescent="0.25">
      <c r="A84" s="454"/>
      <c r="B84" s="542"/>
      <c r="C84" s="171" t="s">
        <v>429</v>
      </c>
      <c r="D84" s="62"/>
      <c r="E84" s="202"/>
      <c r="F84" s="63" t="str">
        <f>IF(E84="","",IF(E84&gt;=30,1,ROUND(E84^2*'Reference Standards'!$C$82+E84*'Reference Standards'!$C$83+'Reference Standards'!$C$84,2)))</f>
        <v/>
      </c>
      <c r="G84" s="545"/>
      <c r="H84" s="461"/>
      <c r="I84" s="572"/>
      <c r="J84" s="523"/>
      <c r="K84" s="523"/>
    </row>
    <row r="85" spans="1:11" ht="15.75" x14ac:dyDescent="0.25">
      <c r="A85" s="454"/>
      <c r="B85" s="543"/>
      <c r="C85" s="172" t="s">
        <v>391</v>
      </c>
      <c r="D85" s="64"/>
      <c r="E85" s="203"/>
      <c r="F85" s="168" t="str">
        <f>IF(E85="","",IF('Quantification Tool'!B$16="Sandy",IF(E85&gt;1.94,0,IF(E85&lt;1.45,1,ROUND(E85*'Reference Standards'!$C$118+'Reference Standards'!$C$119,2))),IF('Quantification Tool'!B$16="Silty",IF(E85&gt;1.83,0,IF(E85&lt;1.21,1,ROUND(E85*'Reference Standards'!$D$118+'Reference Standards'!$D$119,2))),IF('Quantification Tool'!B$16="Clayey",IF(E85&gt;1.74,0,IF(E85&lt;0.82,1,ROUND(E85*'Reference Standards'!$E$118+'Reference Standards'!$E$119,2)))))))</f>
        <v/>
      </c>
      <c r="G85" s="546"/>
      <c r="H85" s="461"/>
      <c r="I85" s="572"/>
      <c r="J85" s="523"/>
      <c r="K85" s="523"/>
    </row>
    <row r="86" spans="1:11" ht="15.75" x14ac:dyDescent="0.25">
      <c r="A86" s="547" t="s">
        <v>6</v>
      </c>
      <c r="B86" s="547" t="s">
        <v>7</v>
      </c>
      <c r="C86" s="66" t="s">
        <v>8</v>
      </c>
      <c r="D86" s="66"/>
      <c r="E86" s="202"/>
      <c r="F86" s="67" t="str">
        <f>IF(E86="","",ROUND(IF(E86&gt;1.6,0,IF(E86&lt;=1,1,E86^2*'Reference Standards'!K$14+E86*'Reference Standards'!K$15+'Reference Standards'!K$16)),2))</f>
        <v/>
      </c>
      <c r="G86" s="504" t="str">
        <f>IFERROR(AVERAGE(F86:F87),"")</f>
        <v/>
      </c>
      <c r="H86" s="504" t="str">
        <f>IFERROR(ROUND(AVERAGE(G86),2),"")</f>
        <v/>
      </c>
      <c r="I86" s="574" t="str">
        <f>IF(H86="","",IF(H86&gt;0.69,"Functioning",IF(H86&gt;0.29,"Functioning At Risk",IF(H86&gt;-1,"Not Functioning"))))</f>
        <v/>
      </c>
      <c r="J86" s="523"/>
      <c r="K86" s="523"/>
    </row>
    <row r="87" spans="1:11" ht="15.75" x14ac:dyDescent="0.25">
      <c r="A87" s="549"/>
      <c r="B87" s="548"/>
      <c r="C87" s="66" t="s">
        <v>9</v>
      </c>
      <c r="D87" s="66"/>
      <c r="E87" s="203"/>
      <c r="F87" s="67" t="str">
        <f>IF(E87="","",(IF(OR('Quantification Tool'!B$6="A",'Quantification Tool'!B$6="B",'Quantification Tool'!$B$6="Bc"),IF(E87&lt;1.2,0,IF(E87&gt;=2.2,1,ROUND(IF(E87&lt;1.4,E87*'Reference Standards'!$K$84+'Reference Standards'!$K$85,E87*'Reference Standards'!$L$84+'Reference Standards'!$L$85),2))),IF(OR('Quantification Tool'!B$6="C",'Quantification Tool'!B$6="E"),IF(E87&lt;2,0,IF(E87&gt;=5,1,ROUND(IF(E87&lt;2.4,E87*'Reference Standards'!$L$49+'Reference Standards'!$L$50,E87*'Reference Standards'!$K$49+'Reference Standards'!$K$50),2)))))))</f>
        <v/>
      </c>
      <c r="G87" s="533"/>
      <c r="H87" s="505"/>
      <c r="I87" s="575"/>
      <c r="J87" s="523"/>
      <c r="K87" s="523"/>
    </row>
    <row r="88" spans="1:11" ht="15.75" x14ac:dyDescent="0.25">
      <c r="A88" s="464" t="s">
        <v>27</v>
      </c>
      <c r="B88" s="553" t="s">
        <v>28</v>
      </c>
      <c r="C88" s="74" t="s">
        <v>422</v>
      </c>
      <c r="D88" s="308"/>
      <c r="E88" s="75"/>
      <c r="F88" s="310" t="str">
        <f>IF(E88="","",IF(E88&gt;700,1,IF(E88&lt;300,ROUND('Reference Standards'!$S$14*(E88^2)+'Reference Standards'!$S$15*E88+'Reference Standards'!$S$16,2),ROUND('Reference Standards'!$T$15*E88+'Reference Standards'!$T$16,2))))</f>
        <v/>
      </c>
      <c r="G88" s="506" t="str">
        <f>IFERROR(AVERAGE(F88:F89),"")</f>
        <v/>
      </c>
      <c r="H88" s="534" t="str">
        <f>IFERROR(ROUND(AVERAGE(G88:G106),2),"")</f>
        <v/>
      </c>
      <c r="I88" s="523" t="str">
        <f>IF(H88="","",IF(H88&gt;0.69,"Functioning",IF(H88&gt;0.29,"Functioning At Risk",IF(H88&gt;-1,"Not Functioning"))))</f>
        <v/>
      </c>
      <c r="J88" s="523"/>
      <c r="K88" s="523"/>
    </row>
    <row r="89" spans="1:11" ht="15.75" x14ac:dyDescent="0.25">
      <c r="A89" s="465"/>
      <c r="B89" s="554"/>
      <c r="C89" s="77" t="s">
        <v>394</v>
      </c>
      <c r="D89" s="309"/>
      <c r="E89" s="65"/>
      <c r="F89" s="311" t="str">
        <f>IF(E89="","",IF(E89&gt;=30,1,IF(E89&lt;16,ROUND('Reference Standards'!$S$47*(E89^2)+'Reference Standards'!$S$48*E89+'Reference Standards'!$S$49,2),ROUND('Reference Standards'!$T$48*E89+'Reference Standards'!$T$49,2))))</f>
        <v/>
      </c>
      <c r="G89" s="508"/>
      <c r="H89" s="534"/>
      <c r="I89" s="523"/>
      <c r="J89" s="523"/>
      <c r="K89" s="523"/>
    </row>
    <row r="90" spans="1:11" ht="15.75" x14ac:dyDescent="0.25">
      <c r="A90" s="465"/>
      <c r="B90" s="465" t="s">
        <v>51</v>
      </c>
      <c r="C90" s="71" t="s">
        <v>92</v>
      </c>
      <c r="D90" s="71"/>
      <c r="E90" s="167"/>
      <c r="F90" s="72" t="str">
        <f>IF(E90="","",ROUND(IF(E90&gt;0.7,0,IF(E90&lt;=0.1,1,E90^3*'Reference Standards'!S$81+E90^2*'Reference Standards'!S$82+E90*'Reference Standards'!S$83+'Reference Standards'!S$84)),2))</f>
        <v/>
      </c>
      <c r="G90" s="551" t="str">
        <f>IFERROR(IF(E90="",AVERAGE(F91:F92),IF(E91="",F90,MAX(F90,AVERAGE(F91:F92)))),"")</f>
        <v/>
      </c>
      <c r="H90" s="535"/>
      <c r="I90" s="523"/>
      <c r="J90" s="523"/>
      <c r="K90" s="523"/>
    </row>
    <row r="91" spans="1:11" ht="15.75" x14ac:dyDescent="0.25">
      <c r="A91" s="465"/>
      <c r="B91" s="465"/>
      <c r="C91" s="71" t="s">
        <v>52</v>
      </c>
      <c r="D91" s="71"/>
      <c r="E91" s="202"/>
      <c r="F91" s="72" t="str">
        <f>IF(E91="","",IF(OR(E91="Ex/Ex",E91="Ex/VH"),0, IF(OR(E91="Ex/H",E91="VH/Ex",E91="VH/VH", E91="H/Ex",E91="H/VH",E91="M/Ex"),0.1,IF(OR(E91="Ex/M",E91="VH/H",E91="H/H", E91="M/VH"),0.2, IF(OR(E91="Ex/L",E91="VH/M",E91="H/M", E91="M/H",E91="L/Ex"),0.3, IF(OR(E91="Ex/VL",E91="VH/L",E91="H/L"),0.4, IF(OR(E91="VH/VL",E91="H/VL",E91="M/M", E91="L/VH"),0.5, IF(OR(E91="M/L",E91="L/H"),0.6, IF(OR(E91="M/VL",E91="L/M"),0.7, IF(OR(E91="L/L",E91="L/VL"),1))))))))))</f>
        <v/>
      </c>
      <c r="G91" s="551"/>
      <c r="H91" s="535"/>
      <c r="I91" s="523"/>
      <c r="J91" s="523"/>
      <c r="K91" s="523"/>
    </row>
    <row r="92" spans="1:11" ht="15.75" x14ac:dyDescent="0.25">
      <c r="A92" s="465"/>
      <c r="B92" s="466"/>
      <c r="C92" s="73" t="s">
        <v>102</v>
      </c>
      <c r="D92" s="73"/>
      <c r="E92" s="203"/>
      <c r="F92" s="80" t="str">
        <f>IF(E92="","",ROUND(IF(E92&gt;40,0,IF(E92&lt;5,1,E92^3*'Reference Standards'!S$116+E92^2*'Reference Standards'!S$117+E92*'Reference Standards'!S$118+'Reference Standards'!S$119)),2))</f>
        <v/>
      </c>
      <c r="G92" s="551"/>
      <c r="H92" s="535"/>
      <c r="I92" s="523"/>
      <c r="J92" s="523"/>
      <c r="K92" s="523"/>
    </row>
    <row r="93" spans="1:11" ht="15.75" x14ac:dyDescent="0.25">
      <c r="A93" s="465"/>
      <c r="B93" s="465" t="s">
        <v>53</v>
      </c>
      <c r="C93" s="74" t="s">
        <v>120</v>
      </c>
      <c r="D93" s="78"/>
      <c r="E93" s="167"/>
      <c r="F93" s="90" t="str">
        <f>IF(E93="","",ROUND(IF(E93&gt;90,1,E93^2*'Reference Standards'!S$151+E93*'Reference Standards'!S$152+'Reference Standards'!S$153),2))</f>
        <v/>
      </c>
      <c r="G93" s="550" t="str">
        <f>IFERROR(ROUND(AVERAGE(F93:F100),2),"")</f>
        <v/>
      </c>
      <c r="H93" s="535"/>
      <c r="I93" s="523"/>
      <c r="J93" s="523"/>
      <c r="K93" s="523"/>
    </row>
    <row r="94" spans="1:11" ht="15.75" x14ac:dyDescent="0.25">
      <c r="A94" s="465"/>
      <c r="B94" s="465"/>
      <c r="C94" s="76" t="s">
        <v>121</v>
      </c>
      <c r="D94" s="71"/>
      <c r="E94" s="202"/>
      <c r="F94" s="72" t="str">
        <f>IF(E94="","",ROUND(IF(E94&gt;90,1,E94^2*'Reference Standards'!S$151+E94*'Reference Standards'!S$152+'Reference Standards'!S$153),2))</f>
        <v/>
      </c>
      <c r="G94" s="551"/>
      <c r="H94" s="535"/>
      <c r="I94" s="523"/>
      <c r="J94" s="523"/>
      <c r="K94" s="523"/>
    </row>
    <row r="95" spans="1:11" ht="15.75" x14ac:dyDescent="0.25">
      <c r="A95" s="465"/>
      <c r="B95" s="465"/>
      <c r="C95" s="76" t="s">
        <v>430</v>
      </c>
      <c r="D95" s="71"/>
      <c r="E95" s="202"/>
      <c r="F95" s="72" t="str">
        <f>IF(E95="","",ROUND(IF(OR('Quantification Tool'!B$6="A",'Quantification Tool'!B$6="B",'Quantification Tool'!B$6="Bc"),IF(E95&gt;=50,1, IF(E95&lt;30, E95*'Reference Standards'!#REF!+'Reference Standards'!#REF!, E95*'Reference Standards'!#REF!+'Reference Standards'!#REF!)), IF(E95&gt;=150,1,IF(E95&lt;48, E95^2*'Reference Standards'!S$220+E95*'Reference Standards'!S$221+'Reference Standards'!S$222, E95*'Reference Standards'!T$220+'Reference Standards'!T$221))),2))</f>
        <v/>
      </c>
      <c r="G95" s="551"/>
      <c r="H95" s="535"/>
      <c r="I95" s="523"/>
      <c r="J95" s="523"/>
      <c r="K95" s="523"/>
    </row>
    <row r="96" spans="1:11" ht="15.75" x14ac:dyDescent="0.25">
      <c r="A96" s="465"/>
      <c r="B96" s="465"/>
      <c r="C96" s="76" t="s">
        <v>431</v>
      </c>
      <c r="D96" s="71"/>
      <c r="E96" s="202"/>
      <c r="F96" s="72" t="str">
        <f>IF(E96="","",ROUND(IF(OR('Quantification Tool'!B$6="A",'Quantification Tool'!B$6="B",'Quantification Tool'!B$6="Bc"),IF(E96&gt;=50,1, IF(E96&lt;30, E96*'Reference Standards'!#REF!+'Reference Standards'!#REF!, E96*'Reference Standards'!#REF!+'Reference Standards'!#REF!)), IF(E96&gt;=150,1,IF(E96&lt;45, E96^2*'Reference Standards'!S$220+E96*'Reference Standards'!S$221+'Reference Standards'!S$222, E96*'Reference Standards'!T$220+'Reference Standards'!T$221))),2))</f>
        <v/>
      </c>
      <c r="G96" s="551"/>
      <c r="H96" s="535"/>
      <c r="I96" s="523"/>
      <c r="J96" s="523"/>
      <c r="K96" s="523"/>
    </row>
    <row r="97" spans="1:13" ht="15.75" x14ac:dyDescent="0.25">
      <c r="A97" s="465"/>
      <c r="B97" s="465"/>
      <c r="C97" s="71" t="s">
        <v>128</v>
      </c>
      <c r="D97" s="71"/>
      <c r="E97" s="202"/>
      <c r="F97" s="72" t="str">
        <f>IF(E97="","",ROUND(IF(E97&gt;100,1,E97^2*'Reference Standards'!S$185+E97*'Reference Standards'!S$186+'Reference Standards'!S$187),2))</f>
        <v/>
      </c>
      <c r="G97" s="551"/>
      <c r="H97" s="535"/>
      <c r="I97" s="523"/>
      <c r="J97" s="523"/>
      <c r="K97" s="523"/>
    </row>
    <row r="98" spans="1:13" ht="15.75" x14ac:dyDescent="0.25">
      <c r="A98" s="465"/>
      <c r="B98" s="465"/>
      <c r="C98" s="71" t="s">
        <v>129</v>
      </c>
      <c r="D98" s="71"/>
      <c r="E98" s="202"/>
      <c r="F98" s="72" t="str">
        <f>IF(E98="","",ROUND(IF(E98&gt;100,1,E98^2*'Reference Standards'!S$185+E98*'Reference Standards'!S$186+'Reference Standards'!S$187),2))</f>
        <v/>
      </c>
      <c r="G98" s="551"/>
      <c r="H98" s="535"/>
      <c r="I98" s="523"/>
      <c r="J98" s="523"/>
      <c r="K98" s="523"/>
    </row>
    <row r="99" spans="1:13" ht="15.75" x14ac:dyDescent="0.25">
      <c r="A99" s="465"/>
      <c r="B99" s="465"/>
      <c r="C99" s="76" t="s">
        <v>165</v>
      </c>
      <c r="D99" s="71"/>
      <c r="E99" s="202"/>
      <c r="F99" s="72" t="str">
        <f>IF(E99="","",ROUND(IF(E99&gt;=300,0.5,E99*'Reference Standards'!S$253),2))</f>
        <v/>
      </c>
      <c r="G99" s="551"/>
      <c r="H99" s="535"/>
      <c r="I99" s="523"/>
      <c r="J99" s="523"/>
      <c r="K99" s="523"/>
      <c r="M99" s="21"/>
    </row>
    <row r="100" spans="1:13" ht="15.75" x14ac:dyDescent="0.25">
      <c r="A100" s="465"/>
      <c r="B100" s="466"/>
      <c r="C100" s="77" t="s">
        <v>166</v>
      </c>
      <c r="D100" s="79"/>
      <c r="E100" s="202"/>
      <c r="F100" s="72" t="str">
        <f>IF(E100="","",ROUND(IF(E100&gt;=300,0.5,E100*'Reference Standards'!S$253),2))</f>
        <v/>
      </c>
      <c r="G100" s="552"/>
      <c r="H100" s="535"/>
      <c r="I100" s="523"/>
      <c r="J100" s="523"/>
      <c r="K100" s="523"/>
    </row>
    <row r="101" spans="1:13" ht="15.75" x14ac:dyDescent="0.25">
      <c r="A101" s="465"/>
      <c r="B101" s="69" t="s">
        <v>130</v>
      </c>
      <c r="C101" s="89" t="s">
        <v>168</v>
      </c>
      <c r="D101" s="71"/>
      <c r="E101" s="53"/>
      <c r="F101" s="234" t="str">
        <f>IF(E101="","",IF('Quantification Tool'!B$9="Gravel",IF(E101&gt;0.1,1,IF(E101&lt;=0.01,0,ROUND(E101*'Reference Standards'!$S$289+'Reference Standards'!$S$290,2)))))</f>
        <v/>
      </c>
      <c r="G101" s="100" t="str">
        <f>IFERROR(AVERAGE(F101),"")</f>
        <v/>
      </c>
      <c r="H101" s="535"/>
      <c r="I101" s="523"/>
      <c r="J101" s="523"/>
      <c r="K101" s="523"/>
    </row>
    <row r="102" spans="1:13" ht="15.75" x14ac:dyDescent="0.25">
      <c r="A102" s="465"/>
      <c r="B102" s="464" t="s">
        <v>54</v>
      </c>
      <c r="C102" s="78" t="s">
        <v>55</v>
      </c>
      <c r="D102" s="78"/>
      <c r="E102" s="209"/>
      <c r="F102" s="299" t="str">
        <f>IF(E102="","",   IF(AND('Quantification Tool'!$B$6="E",'Quantification Tool'!$B$9="Gravel"),ROUND(IF(OR(E102&lt;=2.3,E102&gt;=10.1),0,IF(E102&lt;4,E102*'Reference Standards'!$S$325+'Reference Standards'!$S$326,IF(E102&lt;=7.5,1,E102*'Reference Standards'!$T$325+'Reference Standards'!$T$326))),2),    IF(AND('Quantification Tool'!$B$6="E",'Quantification Tool'!$B$9="Sand"),ROUND(IF(OR(E102&lt;3,E102&gt;6.7),0,IF(E102&lt;=5,1,E102*'Reference Standards'!$S$357+'Reference Standards'!$S$358)),2),    IF(AND('Quantification Tool'!$B$6="C",OR('Quantification Tool'!$B$9="Gravel",'Quantification Tool'!$B$9="Sand")),ROUND(IF(OR(E102&lt;=2.3,E102&gt;=8.1),0,IF(E102&lt;4,E102*'Reference Standards'!$S$391+'Reference Standards'!$S$392,IF(E102&lt;=5.5,1,E102*'Reference Standards'!$T$391+'Reference Standards'!$T$392))),2), IF(AND(OR('Quantification Tool'!$B$6="Bc",'Quantification Tool'!$B$6="B"),'Quantification Tool'!$B$9="Gravel"),ROUND(IF(E102&gt;=7.1,0,IF(E102&gt;4.5,E102*'Reference Standards'!$S$423+'Reference Standards'!$S$424,1)),2))))))</f>
        <v/>
      </c>
      <c r="G102" s="506" t="str">
        <f>IFERROR(AVERAGE(F102:F105),"")</f>
        <v/>
      </c>
      <c r="H102" s="535"/>
      <c r="I102" s="523"/>
      <c r="J102" s="523"/>
      <c r="K102" s="523"/>
    </row>
    <row r="103" spans="1:13" ht="15.75" x14ac:dyDescent="0.25">
      <c r="A103" s="465"/>
      <c r="B103" s="465"/>
      <c r="C103" s="71" t="s">
        <v>56</v>
      </c>
      <c r="D103" s="71"/>
      <c r="E103" s="208"/>
      <c r="F103" s="300" t="str">
        <f>IF(E103="","",IF(E103&lt;1.25,0,IF(E103&gt;=2.8,1,IF(AND(OR('Quantification Tool'!B$6="B", 'Quantification Tool'!B$6="Bc"),'Quantification Tool'!$B$9="Gravel"),ROUND(E103^2*'Reference Standards'!S$489+E103*'Reference Standards'!S$490+'Reference Standards'!S$491,2), IF(AND(OR('Quantification Tool'!B$6="C", 'Quantification Tool'!B$6="E"),OR('Quantification Tool'!$B$9="Gravel",'Quantification Tool'!$B$9="Sand")), ROUND(IF(E103&lt;=1.7,E103*'Reference Standards'!$S$457+'Reference Standards'!$S$458,E103*'Reference Standards'!$T$457+'Reference Standards'!$T$458),2)    )))))</f>
        <v/>
      </c>
      <c r="G103" s="507"/>
      <c r="H103" s="535"/>
      <c r="I103" s="523"/>
      <c r="J103" s="523"/>
      <c r="K103" s="523"/>
    </row>
    <row r="104" spans="1:13" ht="15.75" x14ac:dyDescent="0.25">
      <c r="A104" s="465"/>
      <c r="B104" s="465"/>
      <c r="C104" s="71" t="s">
        <v>423</v>
      </c>
      <c r="D104" s="71"/>
      <c r="E104" s="208"/>
      <c r="F104" s="296" t="str">
        <f>IF(E104="","",IF(AND('Quantification Tool'!$B$6="E",OR('Quantification Tool'!$B$9="Sand",'Quantification Tool'!$B$9="Gravel")), IF(OR(E104&lt;20,E104&gt;73),0,ROUND(IF(E104&lt;25,E104*'Reference Standards'!$S$526+'Reference Standards'!$S$527,IF(E104&lt;35,1,E104^2*'Reference Standards'!$T$525+E104*'Reference Standards'!$T$526+'Reference Standards'!$T$527)),2)),  IF(AND('Quantification Tool'!$B$6="C",OR('Quantification Tool'!$B$9="Sand",'Quantification Tool'!$B$9="Gravel")), IF(OR(E104&lt;19,E104&gt;63),0,ROUND(IF(E104&lt;43,E104*'Reference Standards'!$S$560+'Reference Standards'!$S$561,IF(E104&lt;52,1,E104*'Reference Standards'!$T$560+'Reference Standards'!$T$561)),2)),IF(AND(OR('Quantification Tool'!$B$6="B",'Quantification Tool'!$B$6="Bc"),'Quantification Tool'!$B$9="Gravel"), IF(OR(E104&lt;18,E104&gt;82),0,ROUND(IF(E104&lt;30,E104^2*'Reference Standards'!$S$594+E104*'Reference Standards'!$S$595+'Reference Standards'!$S$596,IF(E104&lt;41,1,E104*'Reference Standards'!$T$595+'Reference Standards'!$T$596)),2))   ))))</f>
        <v/>
      </c>
      <c r="G104" s="507"/>
      <c r="H104" s="535"/>
      <c r="I104" s="523"/>
      <c r="J104" s="523"/>
      <c r="K104" s="523"/>
    </row>
    <row r="105" spans="1:13" ht="15.75" x14ac:dyDescent="0.25">
      <c r="A105" s="465"/>
      <c r="B105" s="466"/>
      <c r="C105" s="76" t="s">
        <v>254</v>
      </c>
      <c r="D105" s="71"/>
      <c r="E105" s="210"/>
      <c r="F105" s="297" t="str">
        <f>IF(E105="","",IF(E105&gt;=1.6,0,IF(E105&lt;=1,1,ROUND('Reference Standards'!$S$626*E105^3+'Reference Standards'!$S$627*E105^2+'Reference Standards'!$S$628*E105+'Reference Standards'!$S$629,2))))</f>
        <v/>
      </c>
      <c r="G105" s="508"/>
      <c r="H105" s="535"/>
      <c r="I105" s="523"/>
      <c r="J105" s="523"/>
      <c r="K105" s="523"/>
      <c r="L105" s="13"/>
    </row>
    <row r="106" spans="1:13" ht="15.75" x14ac:dyDescent="0.25">
      <c r="A106" s="466"/>
      <c r="B106" s="292" t="s">
        <v>58</v>
      </c>
      <c r="C106" s="305" t="s">
        <v>57</v>
      </c>
      <c r="D106" s="306"/>
      <c r="E106" s="203"/>
      <c r="F106" s="80" t="str">
        <f>IF(E106="","",IF(AND('Quantification Tool'!B$6="E",'Quantification Tool'!$B$9="Sand",'Quantification Tool'!$B$17="Unconfined Alluvial"),ROUND(IF(OR(E106&gt;1.8,E106&lt;1.3),0,IF(E106&lt;=1.6,1,E106*'Reference Standards'!S$660+'Reference Standards'!S$661)),2),    IF('Quantification Tool'!$B$17="Unconfined Alluvial",ROUND(IF(OR(E106&lt;1.2, E106&gt;1.5),0,IF(E106&lt;=1.4,1,E106*'Reference Standards'!$S$693+'Reference Standards'!$S$694)),2), IF('Quantification Tool'!$B$17="Confined Alluvial",ROUND(IF(E106&lt;1.15,0,IF(E106&lt;=1.4,E106*'Reference Standards'!$S$722+'Reference Standards'!$S$723,1)),2),  IF('Quantification Tool'!$B$17="Colluvial",ROUND(IF(E106&gt;1.3,0,IF(E106&gt;1.2,E106*'Reference Standards'!$S$753+'Reference Standards'!$S$754,1)),2) )))))</f>
        <v/>
      </c>
      <c r="G106" s="102" t="str">
        <f>IFERROR(AVERAGE(F106),"")</f>
        <v/>
      </c>
      <c r="H106" s="535"/>
      <c r="I106" s="523"/>
      <c r="J106" s="523"/>
      <c r="K106" s="523"/>
      <c r="L106" s="13"/>
    </row>
    <row r="107" spans="1:13" ht="15.75" x14ac:dyDescent="0.25">
      <c r="A107" s="527" t="s">
        <v>61</v>
      </c>
      <c r="B107" s="83" t="s">
        <v>103</v>
      </c>
      <c r="C107" s="87" t="s">
        <v>427</v>
      </c>
      <c r="D107" s="87"/>
      <c r="E107" s="53"/>
      <c r="F107" s="82" t="str">
        <f>IF(E107="","",ROUND(IF(E107&gt;=942,0,IF(E107&lt;=487,E107*'Reference Standards'!AB$15+'Reference Standards'!AB$16,E107*'Reference Standards'!$AC$15+'Reference Standards'!$AC$16)),2))</f>
        <v/>
      </c>
      <c r="G107" s="103" t="str">
        <f>IFERROR(AVERAGE(F107),"")</f>
        <v/>
      </c>
      <c r="H107" s="555" t="str">
        <f>IFERROR(ROUND(AVERAGE(G107:G110),2),"")</f>
        <v/>
      </c>
      <c r="I107" s="569" t="str">
        <f>IF(H107="","",IF(H107&gt;0.69,"Functioning",IF(H107&gt;0.29,"Functioning At Risk",IF(H107&gt;-1,"Not Functioning"))))</f>
        <v/>
      </c>
      <c r="J107" s="523"/>
      <c r="K107" s="523"/>
      <c r="L107" s="21"/>
    </row>
    <row r="108" spans="1:13" ht="15.75" x14ac:dyDescent="0.25">
      <c r="A108" s="528"/>
      <c r="B108" s="399" t="s">
        <v>476</v>
      </c>
      <c r="C108" s="81" t="s">
        <v>457</v>
      </c>
      <c r="D108" s="81"/>
      <c r="E108" s="203"/>
      <c r="F108" s="85" t="str">
        <f>IF(E108="","",IF(OR('Quantification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June")),IF(E108&gt;93,0,IF(E108&lt;13,1,ROUND('Reference Standards'!$AB$53*E108^2+'Reference Standards'!$AB$54*E108+'Reference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Tool'!$B$7="73b"),IF(E108&gt;94,0,IF(E108&lt;17,1,ROUND('Reference Standards'!$AC$53*E108^2+'Reference Standards'!$AC$54*E108+'Reference Standards'!$AC$55,2))),    IF(OR(AND(OR('Quantification Tool'!$B$7="68b",'Quantification Tool'!$B$7="71i"),'Quantification Tool'!$B$8&gt;2), 'Quantification Tool'!$B$7="71e"),IF(E108&gt;91,0,IF(E108&lt;24,1,ROUND('Reference Standards'!$AD$53*E108^2+'Reference Standards'!$AD$54*E108+'Reference Standards'!$AD$55,2))),  IF(OR(AND(OR('Quantification Tool'!$B$7="71f",'Quantification Tool'!$B$7="71g",'Quantification Tool'!$B$7="71h",'Quantification Tool'!$B$7="71i"),'Quantification Tool'!$B$8&lt;=2), AND('Quantification Tool'!$B$7="74a",'Quantification Tool'!$B$8&gt;2)),IF(E108&gt;95,0,IF(E108&lt;=36,1,ROUND('Reference Standards'!$AE$53*E108^2+'Reference Standards'!$AE$54*E108+'Reference Standards'!$AE$55,2))))))))</f>
        <v/>
      </c>
      <c r="G108" s="295" t="str">
        <f>IFERROR(AVERAGE(F108:F108),"")</f>
        <v/>
      </c>
      <c r="H108" s="556"/>
      <c r="I108" s="570"/>
      <c r="J108" s="523"/>
      <c r="K108" s="523"/>
      <c r="L108" s="21"/>
    </row>
    <row r="109" spans="1:13" ht="15.75" x14ac:dyDescent="0.25">
      <c r="A109" s="528"/>
      <c r="B109" s="83" t="s">
        <v>93</v>
      </c>
      <c r="C109" s="84" t="s">
        <v>326</v>
      </c>
      <c r="D109" s="84"/>
      <c r="E109" s="202"/>
      <c r="F109" s="85" t="str">
        <f>IF(E109="","",IF(OR('Quantification Tool'!$B$7="66e",'Quantification Tool'!$B$7="66f",'Quantification Tool'!$B$7="66g"), ROUND(IF(E109&gt;=0.61,0,IF(E109&lt;=0.01,1,IF(E109&lt;=0.06,E109*'Reference Standards'!$AD$197+'Reference Standards'!$AD$198,E109^2*'Reference Standards'!$AB$196+E109*'Reference Standards'!$AB$197+'Reference Standards'!$AB$198))),2),  IF('Quantification Tool'!$B$7="68b", ROUND(IF(E109&gt;=1.1,0,IF(E109&lt;=0.17,1,IF(E109&lt;=0.22,E109*'Reference Standards'!$AE$197+'Reference Standards'!$AE$198,E109^2*'Reference Standards'!$AC$196+E109*'Reference Standards'!$AC$197+'Reference Standards'!$AC$198))),2),IF('Quantification Tool'!$B$8&lt;=2.5,   IF('Quantification Tool'!$B$7="69de",ROUND(IF(E109&gt;=0.22,0,IF(E109&lt;=0.01,1,E109^2*'Reference Standards'!$AB$90+E109*'Reference Standards'!$AB$91+'Reference Standards'!$AB$92)),2),   IF('Quantification Tool'!$B$7="68c",ROUND(IF(E109&gt;=0.87,0,IF(E109&lt;=0.01,1,E109^2*'Reference Standards'!$AC$90+E109*'Reference Standards'!$AC$91+'Reference Standards'!$AC$92)),2),   IF('Quantification Tool'!$B$7="68a",ROUND(IF(E109&gt;=0.81,0,IF(E109&lt;=0.01,1,E109^2*'Reference Standards'!$AD$90+E109*'Reference Standards'!$AD$91+'Reference Standards'!$AD$92)),2),   IF('Quantification Tool'!$B$7="65abei",ROUND(IF(E109&gt;=0.67,0,IF(E109&lt;=0.01,1,IF(E109&lt;=0.18,E109*'Reference Standards'!$AG$91+'Reference Standards'!$AG$92,E109*'Reference Standards'!$AE$91+'Reference Standards'!$AE$92))),2),   IF('Quantification Tool'!$B$7="65j",ROUND(IF(E109&gt;=0.32,0,IF(E109&lt;=0.01,1,IF(E109&lt;=0.25,E109*'Reference Standards'!$AH$91+'Reference Standards'!$AH$92,E109*'Reference Standards'!$AF$91+'Reference Standards'!$AF$92))),2),   IF('Quantification Tool'!$B$7="71f",ROUND(IF(E109&gt;=3,0,IF(E109&lt;=0,1,IF(E109&lt;=0.01,0.7,E109^2*'Reference Standards'!$AB$126+E109*'Reference Standards'!$AB$127+'Reference Standards'!$AB$128))),2),   IF('Quantification Tool'!$B$7="74a",ROUND(IF(E109&gt;=0.14,0,IF(E109&lt;=0.01,1,IF(E109&lt;=0.02,0.7,E109^2*'Reference Standards'!$AC$126+E109*'Reference Standards'!$AC$127+'Reference Standards'!$AC$128))),2),   IF(OR('Quantification Tool'!$B$7="67fhi",'Quantification Tool'!$B$7="67g"),ROUND(IF(E109&gt;=1.9,0,IF(E109&lt;=0.01,1,IF(E109&lt;=0.05,E109*'Reference Standards'!$AF$127+'Reference Standards'!$AF$128,E109^2*'Reference Standards'!$AD$126+E109*'Reference Standards'!$AD$127+'Reference Standards'!$AD$128))),2),   IF('Quantification Tool'!$B$7="73a",ROUND(IF(E109&gt;=1.44,0,IF(E109&lt;=0.01,1,IF(E109&lt;=0.12,E109*'Reference Standards'!$AG$127+'Reference Standards'!$AG$128,E109^2*'Reference Standards'!$AE$126+E109*'Reference Standards'!$AE$127+'Reference Standards'!$AE$128))),2),   IF('Quantification Tool'!$B$7="66d",ROUND(IF(E109&gt;=0.46,0,IF(E109&lt;=0.02,1,IF(E109&lt;=0.08,E109*'Reference Standards'!$AF$163+'Reference Standards'!$AF$164,E109^2*'Reference Standards'!$AB$162+E109*'Reference Standards'!$AB$163+'Reference Standards'!$AB$164))),2),   IF(OR('Quantification Tool'!$B$7="71g",'Quantification Tool'!$B$7="71h",'Quantification Tool'!$B$7="71i"),ROUND(IF(E109&gt;=3,0,IF(E109&lt;=0.06,1,IF(E109&lt;=0.24,E109*'Reference Standards'!$AG$163+'Reference Standards'!$AG$164, E109^2*'Reference Standards'!$AC$162+E109*'Reference Standards'!$AC$163+'Reference Standards'!$AC$164))),2),   IF('Quantification Tool'!$B$7="74b",ROUND(IF(E109&gt;=1.3,0,IF(E109&lt;=0.29,1,IF(E109&lt;=0.48,E109*'Reference Standards'!$AH$163+'Reference Standards'!$AH$164,E109^2*'Reference Standards'!$AD$162+E109*'Reference Standards'!$AD$163+'Reference Standards'!$AD$164))),2),   IF('Quantification Tool'!$B$7="71e",ROUND(IF(E109&gt;=4.3,0,IF(E109&lt;=0.53,1,IF(E109&lt;=0.67,E109*'Reference Standards'!$AI$163+'Reference Standards'!$AI$164,E109^2*'Reference Standards'!$AE$162+E109*'Reference Standards'!$AE$163+'Reference Standards'!$AE$164))),2)       ))))))))))))),IF('Quantification Tool'!$B$8&gt;2.5,    IF('Quantification Tool'!$B$7="73a",ROUND(IF(E109&gt;=0.55,0,IF(E109&lt;=0,1,E109^2*'Reference Standards'!$AB$232+E109*'Reference Standards'!$AB$233+'Reference Standards'!$AB$234)),2),   IF('Quantification Tool'!$B$7="68a",ROUND(IF(E109&gt;=0.54,0,IF(E109&lt;=0,1, IF(E109&lt;=0.01,0.85, E109^2*'Reference Standards'!$AC$232+E109*'Reference Standards'!$AC$233+'Reference Standards'!$AC$234))),2),   IF('Quantification Tool'!$B$7="74a",ROUND(IF(E109&gt;=0.47,0,IF(E109&lt;=0.01,1, IF(E109&lt;=0.02,0.7, E109^2*'Reference Standards'!$AD$232+E109*'Reference Standards'!$AD$233+'Reference Standards'!$AD$234))),2),    IF('Quantification Tool'!$B$7="69de",ROUND(IF(E109&gt;=0.26,0,IF(E109&lt;=0.01,1, IF(E109&lt;=0.02,0.85, E109^2*'Reference Standards'!$AE$232+E109*'Reference Standards'!$AE$233+'Reference Standards'!$AE$234))),2),   IF('Quantification Tool'!$B$7="71f",ROUND(IF(E109&gt;=0.87,0,IF(E109&lt;=0.01,1,IF(E109&lt;=0.04,E109*'Reference Standards'!$AF$269+'Reference Standards'!$AF$270,E109^2*'Reference Standards'!$AB$268+E109*'Reference Standards'!$AB$269+'Reference Standards'!$AB$270))),2),  IF('Quantification Tool'!$B$7="65abei",ROUND(IF(E109&gt;=0.82,0,IF(E109&lt;=0.01,1,IF(E109&lt;=0.06,E109*'Reference Standards'!$AG$269+'Reference Standards'!$AG$270,E109^2*'Reference Standards'!$AC$268+E109*'Reference Standards'!$AC$269+'Reference Standards'!$AC$270))),2),  IF('Quantification Tool'!$B$7="65j",ROUND(IF(E109&gt;=0.33,0,IF(E109&lt;=0.03,1,IF(E109&lt;=0.09,E109*'Reference Standards'!$AH$269+'Reference Standards'!$AH$270,E109^2*'Reference Standards'!$AD$268+E109*'Reference Standards'!$AD$269+'Reference Standards'!$AD$270))),2),  IF('Quantification Tool'!$B$7="68c",ROUND(IF(E109&gt;=0.7,0,IF(E109&lt;=0.07,1,IF(E109&lt;=0.12,E109*'Reference Standards'!$AI$269+'Reference Standards'!$AI$270,E109^2*'Reference Standards'!$AE$268+E109*'Reference Standards'!$AE$269+'Reference Standards'!$AE$270))),2),   IF(OR('Quantification Tool'!$B$7="67fhi",'Quantification Tool'!$B$7="67g"),ROUND(IF(E109&gt;=1.8,0,IF(E109&lt;=0.08,1,IF(E109&lt;=0.2,E109*'Reference Standards'!$AF$306+'Reference Standards'!$AF$307,E109^2*'Reference Standards'!$AB$305+E109*'Reference Standards'!$AB$306+'Reference Standards'!$AB$307))),2),   IF('Quantification Tool'!$B$7="74b",ROUND(IF(E109&gt;=0.96,0,IF(E109&lt;=0.12,1,IF(E109&lt;=0.16,E109*'Reference Standards'!$AG$306+'Reference Standards'!$AG$307,E109^2*'Reference Standards'!$AC$305+E109*'Reference Standards'!$AC$306+'Reference Standards'!$AC$307))),2),   IF('Quantification Tool'!$B$7="66d",ROUND(IF(E109&gt;=0.75,0,IF(E109&lt;=0.13,1,IF(E109&lt;=0.2,E109*'Reference Standards'!$AH$306+'Reference Standards'!$AH$307,E109^2*'Reference Standards'!$AD$305+E109*'Reference Standards'!$AD$306+'Reference Standards'!$AD$307))),2),    IF(OR('Quantification Tool'!$B$7="71g",'Quantification Tool'!$B$7="71h",'Quantification Tool'!$B$7="71i"),ROUND(IF(E109&gt;=1.68,0,IF(E109&lt;=0.08,1,IF(E109&lt;=0.23,E109*'Reference Standards'!$AI$306+'Reference Standards'!$AI$307,E109^2*'Reference Standards'!$AE$305+E109*'Reference Standards'!$AE$306+'Reference Standards'!$AE$307))),2),   IF('Quantification Tool'!$B$7="71e",ROUND(IF(E109&gt;=5.3,0,IF(E109&lt;=0.94,1,IF(E109&lt;=1.4,E109*'Reference Standards'!$AF$310+'Reference Standards'!$AF$311,E109^2*'Reference Standards'!$AB$309+E109*'Reference Standards'!$AB$310+'Reference Standards'!$AB$311))),2))    )))))))))))))))))</f>
        <v/>
      </c>
      <c r="G109" s="104" t="str">
        <f>IFERROR(AVERAGE(F109),"")</f>
        <v/>
      </c>
      <c r="H109" s="556"/>
      <c r="I109" s="570"/>
      <c r="J109" s="523"/>
      <c r="K109" s="523"/>
      <c r="L109" s="21"/>
    </row>
    <row r="110" spans="1:13" ht="15.75" x14ac:dyDescent="0.25">
      <c r="A110" s="529"/>
      <c r="B110" s="293" t="s">
        <v>94</v>
      </c>
      <c r="C110" s="81" t="s">
        <v>325</v>
      </c>
      <c r="D110" s="81"/>
      <c r="E110" s="167"/>
      <c r="F110" s="82" t="str">
        <f>IF(E110="","",IF('Quantification Tool'!$B$8&gt;2.5,IF(OR('Quantification Tool'!$B$7="71h",'Quantification Tool'!$B$7="71i",'Quantification Tool'!$B$7="73a",'Quantification Tool'!$B$7="74a"),IF(E110&lt;=0.01,1,IF(OR('Quantification Tool'!$B$7="71h",'Quantification Tool'!$B$7="71i"),IF(E110&gt;0.37,0,ROUND(IF(E110&gt;0.03,'Reference Standards'!$AB$425*E110^2+'Reference Standards'!$AB$426*E110+'Reference Standards'!$AB$427,'Reference Standards'!$AF$426*E110+'Reference Standards'!$AF$427),2)),  IF('Quantification Tool'!$B$7="73a",IF(E110&gt;0.405,0,ROUND(IF(E110&gt;0.046,'Reference Standards'!$AC$425*E110^2+'Reference Standards'!$AC$426*E110+'Reference Standards'!$AC$427,'Reference Standards'!$AG$426*E110+'Reference Standards'!$AG$427),2)),IF('Quantification Tool'!$B$7="74a",IF(E110&gt;0.3,0,ROUND(IF(E110&gt;0.052,'Reference Standards'!$AD$425*E110^2+'Reference Standards'!$AD$426*E110+'Reference Standards'!$AD$427,'Reference Standards'!$AH$426*E110+'Reference Standards'!$AH$427),2)))))),   IF(E110&lt;=0.002,1,IF(OR('Quantification Tool'!$B$7="66d",'Quantification Tool'!$B$7="66e",'Quantification Tool'!$B$7="66g"),IF(E110&gt;0.053,0,ROUND(E110^2*'Reference Standards'!$AB$347+E110*'Reference Standards'!$AB$348+'Reference Standards'!$AB$349,2)), IF('Quantification Tool'!$B$7="68b",IF(E110&gt;0.05,0,ROUND(E110^2*'Reference Standards'!$AC$347+E110*'Reference Standards'!$AC$348+'Reference Standards'!$AC$349,2)),  IF(OR('Quantification Tool'!$B$7="68a",'Quantification Tool'!$B$7="68c"),IF(E110&gt;0.07,0,ROUND(E110^2*'Reference Standards'!$AD$347+E110*'Reference Standards'!$AD$348+'Reference Standards'!$AD$349,2)), IF(OR('Quantification Tool'!$B$7="71f",'Quantification Tool'!$B$7="71g"),IF(E110&gt;0.13,0,ROUND(IF(E110&gt;0.042,E110*'Reference Standards'!$AE$348+'Reference Standards'!$AE$349,E110*'Reference Standards'!$AF$348+'Reference Standards'!$AF$349),2)), IF('Quantification Tool'!$B$7="67fhi",IF(E110&gt;0.16,0,ROUND(E110^2*'Reference Standards'!$AG$347+E110*'Reference Standards'!$AG$348+'Reference Standards'!$AG$349,2)),  IF('Quantification Tool'!$B$7="65j",IF(E110&gt;0.035,0,ROUND(IF(E110&lt;=0.003,0.7,E110^2*'Reference Standards'!$AB$387+E110*'Reference Standards'!$AB$388+'Reference Standards'!$AB$389),2)),IF('Quantification Tool'!$B$7="69de",IF(E110&gt;0.037,0,ROUND(IF(E110&lt;=0.003,0.7,E110^2*'Reference Standards'!$AC$387+E110*'Reference Standards'!$AC$388+'Reference Standards'!$AC$389),2)),IF('Quantification Tool'!$B$7="71e",IF(E110&gt;0.23,0,ROUND(IF(E110&lt;=0.003,0.7,E110^2*'Reference Standards'!$AD$387+E110*'Reference Standards'!$AD$388+'Reference Standards'!$AD$389),2)),IF('Quantification Tool'!$B$7="66f",IF(E110&gt;0.06,0,ROUND(IF(E110&lt;=0.003,0.85,IF(E110&lt;=0.004,0.7,E110^2*'Reference Standards'!$AE$387+E110*'Reference Standards'!$AE$388+'Reference Standards'!$AE$389)),2)),IF('Quantification Tool'!$B$7="67g",IF(E110&gt;0.11,0,ROUND(IF(E110&lt;=0.01,E110*'Reference Standards'!$AH$388+'Reference Standards'!$AH$389, E110^2*'Reference Standards'!$AF$387+E110*'Reference Standards'!$AF$388+'Reference Standards'!$AF$389),2)),IF('Quantification Tool'!$B$7="74b",IF(E110&gt;0.49,0,ROUND(IF(E110&lt;=0.01,E110*'Reference Standards'!$AH$388+'Reference Standards'!$AH$389, E110^2*'Reference Standards'!$AG$387+E110*'Reference Standards'!$AG$388+'Reference Standards'!$AG$389),2)),IF('Quantification Tool'!$B$7="65abei",IF(E110&gt;0.199,0,ROUND(IF(E110&lt;=0.01,E110*'Reference Standards'!$AI$426+'Reference Standards'!$AI$427, E110^2*'Reference Standards'!$AE$425+E110*'Reference Standards'!$AE$426+'Reference Standards'!$AE$427),2))    )))))))))))))),      IF('Quantification Tool'!$B$8&lt;=2.5, IF(OR('Quantification Tool'!$B$7="66d",'Quantification Tool'!$B$7="66e",'Quantification Tool'!$B$7="66g"),IF(E110&gt;0.05,0,ROUND(IF(E110&lt;=0.002,1,IF(E110&lt;=0.005,E110*'Reference Standards'!$AF$464+'Reference Standards'!$AF$465, E110^2*'Reference Standards'!$AB$463+E110*'Reference Standards'!$AB$464+'Reference Standards'!$AB$465)),2)), IF('Quantification Tool'!$B$7="67fhi",IF(E110&gt;0.1,0,ROUND(IF(E110&lt;=0.002,1,IF(E110&lt;=0.006,E110*'Reference Standards'!$AG$464+'Reference Standards'!$AG$465, E110^2*'Reference Standards'!$AC$463+E110*'Reference Standards'!$AC$464+'Reference Standards'!$AC$465)),2)), IF('Quantification Tool'!$B$7="65abei",IF(E110&gt;0.13,0,ROUND(IF(E110&lt;=0.003,1,IF(E110&lt;=0.008,E110*'Reference Standards'!$AH$464+'Reference Standards'!$AH$465, E110^2*'Reference Standards'!$AD$463+E110*'Reference Standards'!$AD$464+'Reference Standards'!$AD$465)),2)), IF('Quantification Tool'!$B$7="68b",IF(E110&gt;0.043,0,ROUND(IF(E110&lt;=0.004,1, IF(E110&lt;=0.005,0.7, E110^2*'Reference Standards'!$AE$463+E110*'Reference Standards'!$AE$464+'Reference Standards'!$AE$465)),2)), IF('Quantification Tool'!$B$7="69de",IF(E110&gt;=0.034,0,ROUND(IF(E110&lt;=0.003,1, IF(E110&lt;=0.006,E110*'Reference Standards'!$AG$500+'Reference Standards'!$AG$501, E110*'Reference Standards'!$AB$500+'Reference Standards'!$AB$501)),2)), IF(OR('Quantification Tool'!$B$7="68a",'Quantification Tool'!$B$7="68c"),IF(E110&gt;0.202,0,ROUND(IF(E110&lt;=0.003,1, IF(E110&lt;=0.006,E110*'Reference Standards'!$AG$500+'Reference Standards'!$AG$501, IF(E110&gt;=0.04,E110*'Reference Standards'!$AC$500+'Reference Standards'!$AC$501,E110*'Reference Standards'!$AE$500+'Reference Standards'!$AE$501))),2)), IF(OR('Quantification Tool'!$B$7="71f",'Quantification Tool'!$B$7="71g"),IF(E110&gt;0.631,0,ROUND(IF(E110&lt;=0.003,1, IF(E110&lt;=0.006,E110*'Reference Standards'!$AG$500+'Reference Standards'!$AG$501, IF(E110&gt;=0.17,E110*'Reference Standards'!$AD$500+'Reference Standards'!$AD$501,E110*'Reference Standards'!$AF$500+'Reference Standards'!$AF$501))),2)),   IF('Quantification Tool'!$B$7="71e",IF(E110&gt;1.23,0,ROUND(IF(E110&lt;=0.004,1,IF(E110&lt;=0.006,E110*'Reference Standards'!$AF$538+'Reference Standards'!$AF$539, E110^2*'Reference Standards'!$AB$537+E110*'Reference Standards'!$AB$538+'Reference Standards'!$AB$539)),2)), IF('Quantification Tool'!$B$7="67g",IF(E110&gt;0.11,0,ROUND(IF(E110&lt;=0.006,1,IF(E110&lt;=0.011,E110*'Reference Standards'!$AG$538+'Reference Standards'!$AG$539, E110^2*'Reference Standards'!$AC$537+E110*'Reference Standards'!$AC$538+'Reference Standards'!$AC$539)),2)), IF('Quantification Tool'!$B$7="65j",IF(E110&gt;0.046,0,ROUND(IF(E110&lt;=0.007,1,IF(E110&lt;=0.012,E110*'Reference Standards'!$AH$538+'Reference Standards'!$AH$539, E110^2*'Reference Standards'!$AD$537+E110*'Reference Standards'!$AD$538+'Reference Standards'!$AD$539)),2)), IF('Quantification Tool'!$B$7="66f",IF(E110&gt;0.081,0,ROUND(IF(E110&lt;=0.008,1,IF(E110&lt;=0.011,E110*'Reference Standards'!$AI$538+'Reference Standards'!$AI$539, E110^2*'Reference Standards'!$AE$537+E110*'Reference Standards'!$AE$538+'Reference Standards'!$AE$539)),2)), IF(OR('Quantification Tool'!$B$7="71h",'Quantification Tool'!$B$7="71i"),IF(E110&gt;0.37,0,ROUND(IF(E110&lt;=0.013,1,IF(E110&lt;=0.032,E110*'Reference Standards'!$AH$576+'Reference Standards'!$AH$577, IF(E110&lt;=0.3,E110*'Reference Standards'!$AF$576+'Reference Standards'!$AF$577,E110*'Reference Standards'!$AB$576+'Reference Standards'!$AB$577))),2)), IF('Quantification Tool'!$B$7="73a",IF(E110&gt;0.448,0,ROUND(IF(E110&lt;=0.071,1,IF(E110&lt;=0.086,E110*'Reference Standards'!$AJ$576+'Reference Standards'!$AJ$577, IF(E110&lt;=0.165,E110*'Reference Standards'!$AG$576+'Reference Standards'!$AG$577,E110*'Reference Standards'!$AE$576+'Reference Standards'!$AE$577))),2)),  IF('Quantification Tool'!$B$7="74b",IF(E110&gt;0.43,0,ROUND(IF(E110&lt;=0.018,1,IF(E110&lt;=0.019,0.85, IF(E110&lt;=0.02,0.7, E110^2*'Reference Standards'!$AC$575+E110*'Reference Standards'!$AC$576+'Reference Standards'!$AC$577))),2)), IF('Quantification Tool'!$B$7="74a",IF(E110&gt;0.217,0,ROUND(IF(E110&lt;=0.02,1,IF(E110&lt;=0.033,E110*'Reference Standards'!$AI$576+'Reference Standards'!$AI$577, E110^2*'Reference Standards'!$AD$575+E110*'Reference Standards'!$AD$576+'Reference Standards'!$AD$577)),2))     ))))))))))))))))))</f>
        <v/>
      </c>
      <c r="G110" s="105" t="str">
        <f>IFERROR(AVERAGE(F110),"")</f>
        <v/>
      </c>
      <c r="H110" s="557"/>
      <c r="I110" s="571"/>
      <c r="J110" s="523"/>
      <c r="K110" s="523"/>
      <c r="L110" s="21"/>
    </row>
    <row r="111" spans="1:13" ht="15.75" x14ac:dyDescent="0.25">
      <c r="A111" s="538" t="s">
        <v>62</v>
      </c>
      <c r="B111" s="517" t="s">
        <v>432</v>
      </c>
      <c r="C111" s="154" t="s">
        <v>419</v>
      </c>
      <c r="D111" s="155"/>
      <c r="E111" s="209"/>
      <c r="F111" s="219" t="str">
        <f>IF(E111="","",IF(OR('Quantification Tool'!B$7="73a",'Quantification Tool'!B$7="73b"),IF(E111&lt;1,0,IF(E111&gt;=30,1,ROUND(IF(E111&lt;22,'Reference Standards'!$AL$16*E111+'Reference Standards'!$AL$17,'Reference Standards'!$AM$16*E111+'Reference Standards'!$AM$17),2))), IF(E111&lt;1,0, IF(E111&gt;=42,1, ROUND(IF(E111&lt;32,'Reference Standards'!$AN$16*E111+'Reference Standards'!$AN$17,'Reference Standards'!$AO$16*E111+'Reference Standards'!$AO$17),2)))))</f>
        <v/>
      </c>
      <c r="G111" s="558" t="str">
        <f>IFERROR(AVERAGE(F111:F114),"")</f>
        <v/>
      </c>
      <c r="H111" s="537" t="str">
        <f>IFERROR(ROUND(AVERAGE(G111:G116),2),"")</f>
        <v/>
      </c>
      <c r="I111" s="572" t="str">
        <f>IF(H111="","",IF(H111&gt;0.69,"Functioning",IF(H111&gt;0.29,"Functioning At Risk",IF(H111&gt;-1,"Not Functioning"))))</f>
        <v/>
      </c>
      <c r="J111" s="523"/>
      <c r="K111" s="523"/>
      <c r="L111" s="21"/>
    </row>
    <row r="112" spans="1:13" ht="15.75" x14ac:dyDescent="0.25">
      <c r="A112" s="539"/>
      <c r="B112" s="518"/>
      <c r="C112" s="217" t="s">
        <v>424</v>
      </c>
      <c r="D112" s="218"/>
      <c r="E112" s="208"/>
      <c r="F112" s="221" t="str">
        <f>IF(E112="","",IF(AND('Quantification Tool'!$B$7="74b",'Quantification Tool'!$B$8&lt;=2),IF(E112&lt;0,0,IF(E112&gt;15.6,0.69,ROUND('Reference Standards'!$AL$54*E112^2+'Reference Standards'!$AL$55*E112+'Reference Standards'!$AL$56,2))),IF(AND('Quantification Tool'!$B$7="65abei",'Quantification Tool'!$B$8&lt;=2),IF(E112&lt;0,0,IF(E112&gt;=20,0.69,ROUND('Reference Standards'!$AM$54*E112^2+'Reference Standards'!$AM$55*E112+'Reference Standards'!$AM$56,2))),IF(OR(AND('Quantification Tool'!$B$7="74a",'Quantification Tool'!$B$8&gt;2,'Quantification Tool'!$B$14="January - June"),AND('Quantification Tool'!$B$7="71i",'Quantification Tool'!$B$8&gt;2,'Quantification Tool'!$B$15="SQBANK")),IF(E112&lt;0,0,IF(E112&gt;24.7,0.69,ROUND('Reference Standards'!$AN$54*E112^2+'Reference Standards'!$AN$55*E112+'Reference Standards'!$AN$56,2))),IF(OR('Quantification Tool'!$B$7="74b",'Quantification Tool'!$B$7="65abei"),IF(E112&lt;0,0,IF(E112&gt;32.7,0.69,ROUND('Reference Standards'!$AO$54*E112^2+'Reference Standards'!$AO$55*E112+'Reference Standards'!$AO$56,2))),IF(AND('Quantification Tool'!$B$7="68b",'Quantification Tool'!$B$8&gt;2),IF(E112&lt;0,0,IF(E112&gt;41.2,0.69,ROUND('Reference Standards'!$AP$54*E112^2+'Reference Standards'!$AP$55*E112+'Reference Standards'!$AP$56,2))),IF(OR(AND('Quantification Tool'!$B$7="71i",'Quantification Tool'!$B$8&lt;=2),AND(OR('Quantification Tool'!$B$7="68c",'Quantification Tool'!$B$7="68d"),'Quantification Tool'!$B$14="January - June")),IF(E112&lt;0,0,IF(E112&gt;49.2,0.69,ROUND('Reference Standards'!$AL$94*E112^2+'Reference Standards'!$AL$95*E112+'Reference Standards'!$AL$96,2))),IF(OR(AND('Quantification Tool'!$B$7="68a",'Quantification Tool'!$B$14="January - June"),AND(OR('Quantification Tool'!$B$7="68c",'Quantification Tool'!$B$7="68d"),'Quantification Tool'!$B$14="July - December")),IF(E112&lt;0,0,IF(E112&gt;53.4,0.69,ROUND('Reference Standards'!$AM$94*E112^2+'Reference Standards'!$AM$95*E112+'Reference Standards'!$AM$96,2))),IF(OR(AND('Quantification Tool'!$B$7="71i",'Quantification Tool'!$B$8&gt;2,'Quantification Tool'!$B$15="SQKICK"),AND(OR('Quantification Tool'!$B$7="67fhi",'Quantification Tool'!$B$7="67g"),'Quantification Tool'!$B$8&lt;=2),'Quantification Tool'!$B$7="65j"),IF(E112&lt;0,0,IF(E112&gt;57.8,0.69,ROUND('Reference Standards'!$AN$94*E112^2+'Reference Standards'!$AN$95*E112+'Reference Standards'!$AN$96,2))),IF(OR(AND('Quantification Tool'!$B$7="74a",'Quantification Tool'!$B$8&gt;2,'Quantification Tool'!$B$14="July - December"),AND(OR('Quantification Tool'!$B$7="67fhi",'Quantification Tool'!$B$7="67g"),'Quantification Tool'!$B$8&gt;2),'Quantification Tool'!$B$7="69de"),IF(E112&lt;0,0,IF(E112&gt;62.5,0.69,ROUND('Reference Standards'!$AO$94*E112^2+'Reference Standards'!$AO$95*E112+'Reference Standards'!$AO$96,2))),  IF(OR('Quantification Tool'!$B$7="66d",'Quantification Tool'!$B$7="66e",'Quantification Tool'!$B$7="66ik",'Quantification Tool'!$B$7="71e",'Quantification Tool'!$B$7="71f",'Quantification Tool'!$B$7="71g",'Quantification Tool'!$B$7="71h"),IF(E112&lt;0,0,IF(E112&gt;66.5,0.69,ROUND('Reference Standards'!$AP$94*E112^2+'Reference Standards'!$AP$95*E112+'Reference Standards'!$AP$96,2))),IF(OR('Quantification Tool'!$B$7="66f",'Quantification Tool'!$B$7="66g",'Quantification Tool'!$B$7="66j",AND('Quantification Tool'!$B$7="68a",'Quantification Tool'!$B$14="July - December")), IF(E112&lt;0,0,IF(E112&gt;69,0.69,ROUND('Reference Standards'!$AQ$94*E112^2+'Reference Standards'!$AQ$95*E112+'Reference Standards'!$AQ$96,2))))   )))))))))))</f>
        <v/>
      </c>
      <c r="G112" s="558"/>
      <c r="H112" s="537"/>
      <c r="I112" s="572"/>
      <c r="J112" s="523"/>
      <c r="K112" s="523"/>
      <c r="L112" s="21"/>
    </row>
    <row r="113" spans="1:12" ht="15.75" x14ac:dyDescent="0.25">
      <c r="A113" s="539"/>
      <c r="B113" s="518"/>
      <c r="C113" s="217" t="s">
        <v>428</v>
      </c>
      <c r="D113" s="218"/>
      <c r="E113" s="208"/>
      <c r="F113" s="221" t="str">
        <f>IF(E113="","",IF(AND('Quantification Tool'!$B$7="74b",'Quantification Tool'!$B$8&lt;=2),IF(E113&lt;0,0,IF(E113&gt;8.1,0.69,ROUND('Reference Standards'!$AL$131*E113^2+'Reference Standards'!$AL$132*E113+'Reference Standards'!$AL$133,2))),IF(OR('Quantification Tool'!$B$7="73a",'Quantification Tool'!$B$7="73b"),IF(E113&lt;0,0,IF(E113&gt;=28,0.69,ROUND('Reference Standards'!$AM$131*E113^2+'Reference Standards'!$AM$132*E113+'Reference Standards'!$AM$133,2))),IF(AND('Quantification Tool'!$B$7="74a",'Quantification Tool'!$B$8&gt;2,'Quantification Tool'!$B$14="January - June"),IF(E113&lt;0,0,IF(E113&gt;=32.5,0.69,ROUND('Reference Standards'!$AN$131*E113^2+'Reference Standards'!$AN$132*E113+'Reference Standards'!$AN$133,2))),IF(AND('Quantification Tool'!$B$7="71i",'Quantification Tool'!$B$8&gt;2,'Quantification Tool'!$B$15="SQBANK"),IF(E113&lt;0,0,IF(E113&gt;=37,0.69,ROUND('Reference Standards'!$AO$131*E113^2+'Reference Standards'!$AO$132*E113+'Reference Standards'!$AO$133,2))),IF(OR(AND(OR('Quantification Tool'!$B$7="65abei",'Quantification Tool'!$B$7="74b"),'Quantification Tool'!$B$8&gt;2),AND('Quantification Tool'!$B$7="71i",'Quantification Tool'!$B$8&gt;2,'Quantification Tool'!$B$15="SQKICK")),IF(E113&lt;0,0,IF(E113&gt;42.6,0.69,ROUND('Reference Standards'!$AP$131*E113^2+'Reference Standards'!$AP$132*E113+'Reference Standards'!$AP$133,2))),     IF(OR(AND('Quantification Tool'!$B$7="65abei",'Quantification Tool'!$B$8&lt;=2),AND(OR('Quantification Tool'!$B$7="68c",'Quantification Tool'!$B$7="68d"),'Quantification Tool'!$B$14="July - December"),'Quantification Tool'!$B$7="71e"),IF(E113&lt;0,0,IF(E113&gt;=48,0.69,ROUND('Reference Standards'!$AL$171*E113^2+'Reference Standards'!$AL$172*E113+'Reference Standards'!$AL$173,2))),IF(OR('Quantification Tool'!$B$7="65j",'Quantification Tool'!$B$7="67fhi",'Quantification Tool'!$B$7="67g",AND('Quantification Tool'!$B$7="74a",'Quantification Tool'!$B$14="July - December",'Quantification Tool'!$B$8&gt;2),AND('Quantification Tool'!$B$7="71i",'Quantification Tool'!$B$8&lt;=2)),IF(E113&lt;0,0,IF(E113&gt;=53,0.69,ROUND('Reference Standards'!$AM$171*E113^2+'Reference Standards'!$AM$172*E113+'Reference Standards'!$AM$173,2))),IF(OR(AND(OR('Quantification Tool'!$B$7="68b",'Quantification Tool'!$B$7="71f",'Quantification Tool'!$B$7="71g",'Quantification Tool'!$B$7="71h"),'Quantification Tool'!$B$8&gt;2),'Quantification Tool'!$B$7="68a"),IF(E113&lt;0,0,IF(E113&gt;=57,0.69,ROUND('Reference Standards'!$AN$171*E113^2+'Reference Standards'!$AN$172*E113+'Reference Standards'!$AN$173,2))),IF(OR('Quantification Tool'!$B$7="66f",'Quantification Tool'!$B$7="66g",'Quantification Tool'!$B$7="66j",AND(OR('Quantification Tool'!$B$7="71f",'Quantification Tool'!$B$7="71g",'Quantification Tool'!$B$7="71h"),'Quantification Tool'!$B$8&lt;=2)),IF(E113&lt;0,0,IF(E113&gt;=60,0.69,ROUND('Reference Standards'!$AO$171*E113^2+'Reference Standards'!$AO$172*E113+'Reference Standards'!$AO$173,2))),  IF(OR('Quantification Tool'!$B$7="66d",'Quantification Tool'!$B$7="66e",'Quantification Tool'!$B$7="66ik", AND(OR('Quantification Tool'!$B$7="68c",'Quantification Tool'!$B$7="68d"),'Quantification Tool'!$B$14="January - June"),AND('Quantification Tool'!$B$7="69de",'Quantification Tool'!$B$14="July - December")),IF(E113&lt;0,0,IF(E113&gt;=67.5,0.69,ROUND('Reference Standards'!$AP$171*E113^2+'Reference Standards'!$AP$172*E113+'Reference Standards'!$AP$173,2))),IF(AND('Quantification Tool'!$B$7="69de",'Quantification Tool'!$B$14="January - June"), IF(E113&lt;0,0,IF(E113&gt;=72,0.69,ROUND('Reference Standards'!$AQ$171*E113^2+'Reference Standards'!$AQ$172*E113+'Reference Standards'!$AQ$173,2))))   )))))))))))</f>
        <v/>
      </c>
      <c r="G113" s="558"/>
      <c r="H113" s="537"/>
      <c r="I113" s="572"/>
      <c r="J113" s="523"/>
      <c r="K113" s="523"/>
      <c r="L113" s="21"/>
    </row>
    <row r="114" spans="1:12" ht="15.75" x14ac:dyDescent="0.25">
      <c r="A114" s="539"/>
      <c r="B114" s="519"/>
      <c r="C114" s="156" t="s">
        <v>425</v>
      </c>
      <c r="D114" s="88"/>
      <c r="E114" s="210"/>
      <c r="F114" s="221" t="str">
        <f>IF(E114="","",IF(OR('Quantification Tool'!$B$7="67fhi",'Quantification Tool'!$B$7="67g",'Quantification Tool'!$B$7="71e",'Quantification Tool'!$B$7="73a",'Quantification Tool'!$B$7="73b",AND(OR('Quantification Tool'!$B$7="71f",'Quantification Tool'!$B$7="71g",'Quantification Tool'!$B$7="71h"),'Quantification Tool'!$B$8&gt;2)),IF(E114&gt;100,0,IF(E114&lt;15,0.69,ROUND('Reference Standards'!$AL$208*E114^2+'Reference Standards'!$AL$209*E114+'Reference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),IF(E114&gt;100,0,IF(E114&lt;19,0.69,ROUND('Reference Standards'!$AM$208*E114^2+'Reference Standards'!$AM$209*E114+'Reference Standards'!$AM$210,2))),    IF(OR(AND('Quantification Tool'!$B$7="69de",'Quantification Tool'!$B$14="January - June"),AND('Quantification Tool'!$B$7="71i",'Quantification Tool'!$B$8&gt;2,'Quantification Tool'!$B$15="SQKICK" )),IF(E114&gt;100,0,IF(E114&lt;22,0.69,ROUND('Reference Standards'!$AN$208*E114^2+'Reference Standards'!$AN$209*E114+'Reference Standards'!$AN$210,2))),    IF(OR('Quantification Tool'!$B$7="65j",AND('Quantification Tool'!$B$7="68b",'Quantification Tool'!$B$8&gt;2)),IF(E114&gt;100,0,IF(E114&lt;24,0.69,ROUND('Reference Standards'!$AO$208*E114^2+'Reference Standards'!$AO$209*E114+'Reference Standards'!$AO$210,2))),    IF(AND(OR('Quantification Tool'!$B$7="65abei",'Quantification Tool'!$B$7="71f",'Quantification Tool'!$B$7="71g",'Quantification Tool'!$B$7="71h"),'Quantification Tool'!$B$8&lt;=2),IF(E114&gt;95,0,IF(E114&lt;33,0.69,ROUND('Reference Standards'!$AL$246*E114^2+'Reference Standards'!$AL$247*E114+'Reference Standards'!$AL$248,2))),   IF(AND(OR('Quantification Tool'!$B$7="65abei",'Quantification Tool'!$B$7="74b"),'Quantification Tool'!$B$8&gt;2),IF(E114&gt;97,0,IF(E114&lt;36,0.69,ROUND('Reference Standards'!$AM$246*E114^2+'Reference Standards'!$AM$247*E114+'Reference Standards'!$AM$248,2))),  IF(AND('Quantification Tool'!$B$7="74a",'Quantification Tool'!$B$14="January - June",'Quantification Tool'!$B$8&gt;2),IF(E114&gt;93,0,IF(E114&lt;52,0.69,ROUND('Reference Standards'!$AN$246*E114^2+'Reference Standards'!$AN$247*E114+'Reference Standards'!$AN$248,2))),   IF(AND('Quantification Tool'!$B$7="74b",'Quantification Tool'!$B$8&lt;=2),IF(E114&gt;97,0,IF(E114&lt;62,0.69,ROUND('Reference Standards'!$AO$246*E114^2+'Reference Standards'!$AO$247*E114+'Reference Standards'!$AO$248,2)))  )))))))))</f>
        <v/>
      </c>
      <c r="G114" s="558"/>
      <c r="H114" s="537"/>
      <c r="I114" s="572"/>
      <c r="J114" s="523"/>
      <c r="K114" s="523"/>
      <c r="L114" s="21"/>
    </row>
    <row r="115" spans="1:12" ht="15.75" x14ac:dyDescent="0.25">
      <c r="A115" s="539"/>
      <c r="B115" s="530" t="s">
        <v>86</v>
      </c>
      <c r="C115" s="154" t="s">
        <v>255</v>
      </c>
      <c r="D115" s="155"/>
      <c r="E115" s="209"/>
      <c r="F115" s="219" t="str">
        <f>IF(E115="","",IF(E115=1,0.15,IF(E115=3,0.5,IF(E115=5,0.85,0))))</f>
        <v/>
      </c>
      <c r="G115" s="531" t="str">
        <f>IFERROR(AVERAGE(F115:F116),"")</f>
        <v/>
      </c>
      <c r="H115" s="537"/>
      <c r="I115" s="572"/>
      <c r="J115" s="523"/>
      <c r="K115" s="523"/>
      <c r="L115" s="21"/>
    </row>
    <row r="116" spans="1:12" ht="15.75" x14ac:dyDescent="0.25">
      <c r="A116" s="540"/>
      <c r="B116" s="530"/>
      <c r="C116" s="156" t="s">
        <v>420</v>
      </c>
      <c r="D116" s="88"/>
      <c r="E116" s="210"/>
      <c r="F116" s="220" t="str">
        <f>IF(E116="","",IF(E116=1,0.15,IF(E116=3,0.5,IF(E116=5,0.85,0))))</f>
        <v/>
      </c>
      <c r="G116" s="532"/>
      <c r="H116" s="537"/>
      <c r="I116" s="572"/>
      <c r="J116" s="523"/>
      <c r="K116" s="523"/>
      <c r="L116" s="21"/>
    </row>
    <row r="117" spans="1:12" x14ac:dyDescent="0.25">
      <c r="L117" s="21"/>
    </row>
    <row r="118" spans="1:12" ht="21" x14ac:dyDescent="0.35">
      <c r="A118" s="188" t="s">
        <v>173</v>
      </c>
      <c r="B118" s="312"/>
      <c r="C118" s="315" t="s">
        <v>395</v>
      </c>
      <c r="D118" s="312"/>
      <c r="E118" s="313"/>
      <c r="F118" s="314"/>
      <c r="G118" s="450" t="s">
        <v>18</v>
      </c>
      <c r="H118" s="451"/>
      <c r="I118" s="451"/>
      <c r="J118" s="451"/>
      <c r="K118" s="452"/>
      <c r="L118" s="21"/>
    </row>
    <row r="119" spans="1:12" ht="15.75" x14ac:dyDescent="0.25">
      <c r="A119" s="176" t="s">
        <v>1</v>
      </c>
      <c r="B119" s="176" t="s">
        <v>2</v>
      </c>
      <c r="C119" s="498" t="s">
        <v>3</v>
      </c>
      <c r="D119" s="573"/>
      <c r="E119" s="176" t="s">
        <v>15</v>
      </c>
      <c r="F119" s="176" t="s">
        <v>16</v>
      </c>
      <c r="G119" s="176" t="s">
        <v>19</v>
      </c>
      <c r="H119" s="176" t="s">
        <v>20</v>
      </c>
      <c r="I119" s="176" t="s">
        <v>20</v>
      </c>
      <c r="J119" s="176" t="s">
        <v>21</v>
      </c>
      <c r="K119" s="60" t="s">
        <v>21</v>
      </c>
    </row>
    <row r="120" spans="1:12" ht="15.75" x14ac:dyDescent="0.25">
      <c r="A120" s="453" t="s">
        <v>68</v>
      </c>
      <c r="B120" s="294" t="s">
        <v>99</v>
      </c>
      <c r="C120" s="62" t="s">
        <v>421</v>
      </c>
      <c r="D120" s="62"/>
      <c r="E120" s="202"/>
      <c r="F120" s="173" t="str">
        <f>IF(E120="","",IF(E120&gt;78,0,IF(E120&lt;30,1,ROUND('Reference Standards'!C$14*E120^2+'Reference Standards'!C$15*E120+'Reference Standards'!C$16,2))))</f>
        <v/>
      </c>
      <c r="G120" s="101" t="str">
        <f>IFERROR(AVERAGE(F120),"")</f>
        <v/>
      </c>
      <c r="H120" s="460" t="str">
        <f>IFERROR(ROUND(AVERAGE(G120:G124),2),"")</f>
        <v/>
      </c>
      <c r="I120" s="572" t="str">
        <f>IF(H120="","",IF(H120&gt;0.69,"Functioning",IF(H120&gt;0.29,"Functioning At Risk",IF(H120&gt;-1,"Not Functioning"))))</f>
        <v/>
      </c>
      <c r="J120" s="523" t="str">
        <f>IF(AND(H120="",H125="",H127="",H146="",H150=""),"",ROUND((IF(H120="",0,H120)*0.2)+(IF(H125="",0,H125)*0.2)+(IF(H127="",0,H127)*0.2)+(IF(H146="",0,H146)*0.2)+(IF(H150="",0,H150)*0.2),2))</f>
        <v/>
      </c>
      <c r="K120" s="523" t="str">
        <f>IF(J120="","",IF(J120&lt;0.3, "Not Functioning",IF(OR(H120&lt;0.7,H125&lt;0.7,H127&lt;0.7,H146&lt;0.7,H150&lt;0.7),"Functioning At Risk",IF(J120&lt;0.7,"Functioning At Risk","Functioning"))))</f>
        <v/>
      </c>
    </row>
    <row r="121" spans="1:12" ht="15.75" x14ac:dyDescent="0.25">
      <c r="A121" s="454"/>
      <c r="B121" s="541" t="s">
        <v>154</v>
      </c>
      <c r="C121" s="170" t="s">
        <v>202</v>
      </c>
      <c r="D121" s="169"/>
      <c r="E121" s="167"/>
      <c r="F121" s="173" t="str">
        <f>IF(E121="","",IF(E121&gt;=1,1,IF(E121&lt;=0,0,ROUND(E121,2))))</f>
        <v/>
      </c>
      <c r="G121" s="544" t="str">
        <f>IFERROR(AVERAGE(F121:F124),"")</f>
        <v/>
      </c>
      <c r="H121" s="461"/>
      <c r="I121" s="572"/>
      <c r="J121" s="523"/>
      <c r="K121" s="523"/>
    </row>
    <row r="122" spans="1:12" ht="15.75" x14ac:dyDescent="0.25">
      <c r="A122" s="454"/>
      <c r="B122" s="542"/>
      <c r="C122" s="171" t="s">
        <v>155</v>
      </c>
      <c r="D122" s="62"/>
      <c r="E122" s="202"/>
      <c r="F122" s="63" t="str">
        <f>IF(E122="","",IF(E122&gt;3,0,IF(E122=0,1,ROUND('Reference Standards'!C$49*E122+'Reference Standards'!C$50,2))))</f>
        <v/>
      </c>
      <c r="G122" s="545"/>
      <c r="H122" s="461"/>
      <c r="I122" s="572"/>
      <c r="J122" s="523"/>
      <c r="K122" s="523"/>
    </row>
    <row r="123" spans="1:12" ht="15.75" x14ac:dyDescent="0.25">
      <c r="A123" s="454"/>
      <c r="B123" s="542"/>
      <c r="C123" s="171" t="s">
        <v>429</v>
      </c>
      <c r="D123" s="62"/>
      <c r="E123" s="202"/>
      <c r="F123" s="63" t="str">
        <f>IF(E123="","",IF(E123&gt;=30,1,ROUND(E123^2*'Reference Standards'!$C$82+E123*'Reference Standards'!$C$83+'Reference Standards'!$C$84,2)))</f>
        <v/>
      </c>
      <c r="G123" s="545"/>
      <c r="H123" s="461"/>
      <c r="I123" s="572"/>
      <c r="J123" s="523"/>
      <c r="K123" s="523"/>
    </row>
    <row r="124" spans="1:12" ht="15.75" x14ac:dyDescent="0.25">
      <c r="A124" s="454"/>
      <c r="B124" s="543"/>
      <c r="C124" s="172" t="s">
        <v>391</v>
      </c>
      <c r="D124" s="64"/>
      <c r="E124" s="203"/>
      <c r="F124" s="168" t="str">
        <f>IF(E124="","",IF('Quantification Tool'!B$16="Sandy",IF(E124&gt;1.94,0,IF(E124&lt;1.45,1,ROUND(E124*'Reference Standards'!$C$118+'Reference Standards'!$C$119,2))),IF('Quantification Tool'!B$16="Silty",IF(E124&gt;1.83,0,IF(E124&lt;1.21,1,ROUND(E124*'Reference Standards'!$D$118+'Reference Standards'!$D$119,2))),IF('Quantification Tool'!B$16="Clayey",IF(E124&gt;1.74,0,IF(E124&lt;0.82,1,ROUND(E124*'Reference Standards'!$E$118+'Reference Standards'!$E$119,2)))))))</f>
        <v/>
      </c>
      <c r="G124" s="546"/>
      <c r="H124" s="461"/>
      <c r="I124" s="572"/>
      <c r="J124" s="523"/>
      <c r="K124" s="523"/>
    </row>
    <row r="125" spans="1:12" ht="15.75" x14ac:dyDescent="0.25">
      <c r="A125" s="547" t="s">
        <v>6</v>
      </c>
      <c r="B125" s="547" t="s">
        <v>7</v>
      </c>
      <c r="C125" s="66" t="s">
        <v>8</v>
      </c>
      <c r="D125" s="66"/>
      <c r="E125" s="202"/>
      <c r="F125" s="67" t="str">
        <f>IF(E125="","",ROUND(IF(E125&gt;1.6,0,IF(E125&lt;=1,1,E125^2*'Reference Standards'!K$14+E125*'Reference Standards'!K$15+'Reference Standards'!K$16)),2))</f>
        <v/>
      </c>
      <c r="G125" s="504" t="str">
        <f>IFERROR(AVERAGE(F125:F126),"")</f>
        <v/>
      </c>
      <c r="H125" s="504" t="str">
        <f>IFERROR(ROUND(AVERAGE(G125),2),"")</f>
        <v/>
      </c>
      <c r="I125" s="574" t="str">
        <f>IF(H125="","",IF(H125&gt;0.69,"Functioning",IF(H125&gt;0.29,"Functioning At Risk",IF(H125&gt;-1,"Not Functioning"))))</f>
        <v/>
      </c>
      <c r="J125" s="523"/>
      <c r="K125" s="523"/>
    </row>
    <row r="126" spans="1:12" ht="15.75" x14ac:dyDescent="0.25">
      <c r="A126" s="549"/>
      <c r="B126" s="548"/>
      <c r="C126" s="66" t="s">
        <v>9</v>
      </c>
      <c r="D126" s="66"/>
      <c r="E126" s="203"/>
      <c r="F126" s="67" t="str">
        <f>IF(E126="","",(IF(OR('Quantification Tool'!B$6="A",'Quantification Tool'!B$6="B",'Quantification Tool'!$B$6="Bc"),IF(E126&lt;1.2,0,IF(E126&gt;=2.2,1,ROUND(IF(E126&lt;1.4,E126*'Reference Standards'!$K$84+'Reference Standards'!$K$85,E126*'Reference Standards'!$L$84+'Reference Standards'!$L$85),2))),IF(OR('Quantification Tool'!B$6="C",'Quantification Tool'!B$6="E"),IF(E126&lt;2,0,IF(E126&gt;=5,1,ROUND(IF(E126&lt;2.4,E126*'Reference Standards'!$L$49+'Reference Standards'!$L$50,E126*'Reference Standards'!$K$49+'Reference Standards'!$K$50),2)))))))</f>
        <v/>
      </c>
      <c r="G126" s="533"/>
      <c r="H126" s="505"/>
      <c r="I126" s="575"/>
      <c r="J126" s="523"/>
      <c r="K126" s="523"/>
    </row>
    <row r="127" spans="1:12" ht="15.75" x14ac:dyDescent="0.25">
      <c r="A127" s="464" t="s">
        <v>27</v>
      </c>
      <c r="B127" s="553" t="s">
        <v>28</v>
      </c>
      <c r="C127" s="74" t="s">
        <v>422</v>
      </c>
      <c r="D127" s="308"/>
      <c r="E127" s="75"/>
      <c r="F127" s="310" t="str">
        <f>IF(E127="","",IF(E127&gt;700,1,IF(E127&lt;300,ROUND('Reference Standards'!$S$14*(E127^2)+'Reference Standards'!$S$15*E127+'Reference Standards'!$S$16,2),ROUND('Reference Standards'!$T$15*E127+'Reference Standards'!$T$16,2))))</f>
        <v/>
      </c>
      <c r="G127" s="506" t="str">
        <f>IFERROR(AVERAGE(F127:F128),"")</f>
        <v/>
      </c>
      <c r="H127" s="534" t="str">
        <f>IFERROR(ROUND(AVERAGE(G127:G145),2),"")</f>
        <v/>
      </c>
      <c r="I127" s="523" t="str">
        <f>IF(H127="","",IF(H127&gt;0.69,"Functioning",IF(H127&gt;0.29,"Functioning At Risk",IF(H127&gt;-1,"Not Functioning"))))</f>
        <v/>
      </c>
      <c r="J127" s="523"/>
      <c r="K127" s="523"/>
    </row>
    <row r="128" spans="1:12" ht="15.75" x14ac:dyDescent="0.25">
      <c r="A128" s="465"/>
      <c r="B128" s="554"/>
      <c r="C128" s="77" t="s">
        <v>394</v>
      </c>
      <c r="D128" s="309"/>
      <c r="E128" s="65"/>
      <c r="F128" s="311" t="str">
        <f>IF(E128="","",IF(E128&gt;=30,1,IF(E128&lt;16,ROUND('Reference Standards'!$S$47*(E128^2)+'Reference Standards'!$S$48*E128+'Reference Standards'!$S$49,2),ROUND('Reference Standards'!$T$48*E128+'Reference Standards'!$T$49,2))))</f>
        <v/>
      </c>
      <c r="G128" s="508"/>
      <c r="H128" s="534"/>
      <c r="I128" s="523"/>
      <c r="J128" s="523"/>
      <c r="K128" s="523"/>
    </row>
    <row r="129" spans="1:13" ht="15.75" x14ac:dyDescent="0.25">
      <c r="A129" s="465"/>
      <c r="B129" s="465" t="s">
        <v>51</v>
      </c>
      <c r="C129" s="71" t="s">
        <v>92</v>
      </c>
      <c r="D129" s="71"/>
      <c r="E129" s="167"/>
      <c r="F129" s="72" t="str">
        <f>IF(E129="","",ROUND(IF(E129&gt;0.7,0,IF(E129&lt;=0.1,1,E129^3*'Reference Standards'!S$81+E129^2*'Reference Standards'!S$82+E129*'Reference Standards'!S$83+'Reference Standards'!S$84)),2))</f>
        <v/>
      </c>
      <c r="G129" s="551" t="str">
        <f>IFERROR(IF(E129="",AVERAGE(F130:F131),IF(E130="",F129,MAX(F129,AVERAGE(F130:F131)))),"")</f>
        <v/>
      </c>
      <c r="H129" s="535"/>
      <c r="I129" s="523"/>
      <c r="J129" s="523"/>
      <c r="K129" s="523"/>
    </row>
    <row r="130" spans="1:13" ht="15.75" x14ac:dyDescent="0.25">
      <c r="A130" s="465"/>
      <c r="B130" s="465"/>
      <c r="C130" s="71" t="s">
        <v>52</v>
      </c>
      <c r="D130" s="71"/>
      <c r="E130" s="202"/>
      <c r="F130" s="72" t="str">
        <f>IF(E130="","",IF(OR(E130="Ex/Ex",E130="Ex/VH"),0, IF(OR(E130="Ex/H",E130="VH/Ex",E130="VH/VH", E130="H/Ex",E130="H/VH",E130="M/Ex"),0.1,IF(OR(E130="Ex/M",E130="VH/H",E130="H/H", E130="M/VH"),0.2, IF(OR(E130="Ex/L",E130="VH/M",E130="H/M", E130="M/H",E130="L/Ex"),0.3, IF(OR(E130="Ex/VL",E130="VH/L",E130="H/L"),0.4, IF(OR(E130="VH/VL",E130="H/VL",E130="M/M", E130="L/VH"),0.5, IF(OR(E130="M/L",E130="L/H"),0.6, IF(OR(E130="M/VL",E130="L/M"),0.7, IF(OR(E130="L/L",E130="L/VL"),1))))))))))</f>
        <v/>
      </c>
      <c r="G130" s="551"/>
      <c r="H130" s="535"/>
      <c r="I130" s="523"/>
      <c r="J130" s="523"/>
      <c r="K130" s="523"/>
    </row>
    <row r="131" spans="1:13" ht="15.75" x14ac:dyDescent="0.25">
      <c r="A131" s="465"/>
      <c r="B131" s="466"/>
      <c r="C131" s="73" t="s">
        <v>102</v>
      </c>
      <c r="D131" s="73"/>
      <c r="E131" s="203"/>
      <c r="F131" s="80" t="str">
        <f>IF(E131="","",ROUND(IF(E131&gt;40,0,IF(E131&lt;5,1,E131^3*'Reference Standards'!S$116+E131^2*'Reference Standards'!S$117+E131*'Reference Standards'!S$118+'Reference Standards'!S$119)),2))</f>
        <v/>
      </c>
      <c r="G131" s="551"/>
      <c r="H131" s="535"/>
      <c r="I131" s="523"/>
      <c r="J131" s="523"/>
      <c r="K131" s="523"/>
    </row>
    <row r="132" spans="1:13" ht="15.75" x14ac:dyDescent="0.25">
      <c r="A132" s="465"/>
      <c r="B132" s="465" t="s">
        <v>53</v>
      </c>
      <c r="C132" s="74" t="s">
        <v>120</v>
      </c>
      <c r="D132" s="78"/>
      <c r="E132" s="167"/>
      <c r="F132" s="90" t="str">
        <f>IF(E132="","",ROUND(IF(E132&gt;90,1,E132^2*'Reference Standards'!S$151+E132*'Reference Standards'!S$152+'Reference Standards'!S$153),2))</f>
        <v/>
      </c>
      <c r="G132" s="550" t="str">
        <f>IFERROR(ROUND(AVERAGE(F132:F139),2),"")</f>
        <v/>
      </c>
      <c r="H132" s="535"/>
      <c r="I132" s="523"/>
      <c r="J132" s="523"/>
      <c r="K132" s="523"/>
    </row>
    <row r="133" spans="1:13" ht="15.75" x14ac:dyDescent="0.25">
      <c r="A133" s="465"/>
      <c r="B133" s="465"/>
      <c r="C133" s="76" t="s">
        <v>121</v>
      </c>
      <c r="D133" s="71"/>
      <c r="E133" s="202"/>
      <c r="F133" s="72" t="str">
        <f>IF(E133="","",ROUND(IF(E133&gt;90,1,E133^2*'Reference Standards'!S$151+E133*'Reference Standards'!S$152+'Reference Standards'!S$153),2))</f>
        <v/>
      </c>
      <c r="G133" s="551"/>
      <c r="H133" s="535"/>
      <c r="I133" s="523"/>
      <c r="J133" s="523"/>
      <c r="K133" s="523"/>
    </row>
    <row r="134" spans="1:13" ht="15.75" x14ac:dyDescent="0.25">
      <c r="A134" s="465"/>
      <c r="B134" s="465"/>
      <c r="C134" s="76" t="s">
        <v>430</v>
      </c>
      <c r="D134" s="71"/>
      <c r="E134" s="202"/>
      <c r="F134" s="72" t="str">
        <f>IF(E134="","",ROUND(IF(OR('Quantification Tool'!B$6="A",'Quantification Tool'!B$6="B",'Quantification Tool'!B$6="Bc"),IF(E134&gt;=50,1, IF(E134&lt;30, E134*'Reference Standards'!#REF!+'Reference Standards'!#REF!, E134*'Reference Standards'!#REF!+'Reference Standards'!#REF!)), IF(E134&gt;=150,1,IF(E134&lt;48, E134^2*'Reference Standards'!S$220+E134*'Reference Standards'!S$221+'Reference Standards'!S$222, E134*'Reference Standards'!T$220+'Reference Standards'!T$221))),2))</f>
        <v/>
      </c>
      <c r="G134" s="551"/>
      <c r="H134" s="535"/>
      <c r="I134" s="523"/>
      <c r="J134" s="523"/>
      <c r="K134" s="523"/>
    </row>
    <row r="135" spans="1:13" ht="15.75" x14ac:dyDescent="0.25">
      <c r="A135" s="465"/>
      <c r="B135" s="465"/>
      <c r="C135" s="76" t="s">
        <v>431</v>
      </c>
      <c r="D135" s="71"/>
      <c r="E135" s="202"/>
      <c r="F135" s="72" t="str">
        <f>IF(E135="","",ROUND(IF(OR('Quantification Tool'!B$6="A",'Quantification Tool'!B$6="B",'Quantification Tool'!B$6="Bc"),IF(E135&gt;=50,1, IF(E135&lt;30, E135*'Reference Standards'!#REF!+'Reference Standards'!#REF!, E135*'Reference Standards'!#REF!+'Reference Standards'!#REF!)), IF(E135&gt;=150,1,IF(E135&lt;45, E135^2*'Reference Standards'!S$220+E135*'Reference Standards'!S$221+'Reference Standards'!S$222, E135*'Reference Standards'!T$220+'Reference Standards'!T$221))),2))</f>
        <v/>
      </c>
      <c r="G135" s="551"/>
      <c r="H135" s="535"/>
      <c r="I135" s="523"/>
      <c r="J135" s="523"/>
      <c r="K135" s="523"/>
    </row>
    <row r="136" spans="1:13" ht="15.75" x14ac:dyDescent="0.25">
      <c r="A136" s="465"/>
      <c r="B136" s="465"/>
      <c r="C136" s="71" t="s">
        <v>128</v>
      </c>
      <c r="D136" s="71"/>
      <c r="E136" s="202"/>
      <c r="F136" s="72" t="str">
        <f>IF(E136="","",ROUND(IF(E136&gt;100,1,E136^2*'Reference Standards'!S$185+E136*'Reference Standards'!S$186+'Reference Standards'!S$187),2))</f>
        <v/>
      </c>
      <c r="G136" s="551"/>
      <c r="H136" s="535"/>
      <c r="I136" s="523"/>
      <c r="J136" s="523"/>
      <c r="K136" s="523"/>
    </row>
    <row r="137" spans="1:13" ht="15.75" x14ac:dyDescent="0.25">
      <c r="A137" s="465"/>
      <c r="B137" s="465"/>
      <c r="C137" s="71" t="s">
        <v>129</v>
      </c>
      <c r="D137" s="71"/>
      <c r="E137" s="202"/>
      <c r="F137" s="72" t="str">
        <f>IF(E137="","",ROUND(IF(E137&gt;100,1,E137^2*'Reference Standards'!S$185+E137*'Reference Standards'!S$186+'Reference Standards'!S$187),2))</f>
        <v/>
      </c>
      <c r="G137" s="551"/>
      <c r="H137" s="535"/>
      <c r="I137" s="523"/>
      <c r="J137" s="523"/>
      <c r="K137" s="523"/>
    </row>
    <row r="138" spans="1:13" ht="15.75" x14ac:dyDescent="0.25">
      <c r="A138" s="465"/>
      <c r="B138" s="465"/>
      <c r="C138" s="76" t="s">
        <v>165</v>
      </c>
      <c r="D138" s="71"/>
      <c r="E138" s="202"/>
      <c r="F138" s="72" t="str">
        <f>IF(E138="","",ROUND(IF(E138&gt;=300,0.5,E138*'Reference Standards'!S$253),2))</f>
        <v/>
      </c>
      <c r="G138" s="551"/>
      <c r="H138" s="535"/>
      <c r="I138" s="523"/>
      <c r="J138" s="523"/>
      <c r="K138" s="523"/>
      <c r="M138" s="21"/>
    </row>
    <row r="139" spans="1:13" ht="15.75" x14ac:dyDescent="0.25">
      <c r="A139" s="465"/>
      <c r="B139" s="466"/>
      <c r="C139" s="77" t="s">
        <v>166</v>
      </c>
      <c r="D139" s="79"/>
      <c r="E139" s="202"/>
      <c r="F139" s="72" t="str">
        <f>IF(E139="","",ROUND(IF(E139&gt;=300,0.5,E139*'Reference Standards'!S$253),2))</f>
        <v/>
      </c>
      <c r="G139" s="552"/>
      <c r="H139" s="535"/>
      <c r="I139" s="523"/>
      <c r="J139" s="523"/>
      <c r="K139" s="523"/>
    </row>
    <row r="140" spans="1:13" ht="15.75" x14ac:dyDescent="0.25">
      <c r="A140" s="465"/>
      <c r="B140" s="69" t="s">
        <v>130</v>
      </c>
      <c r="C140" s="89" t="s">
        <v>168</v>
      </c>
      <c r="D140" s="71"/>
      <c r="E140" s="53"/>
      <c r="F140" s="234" t="str">
        <f>IF(E140="","",IF('Quantification Tool'!B$9="Gravel",IF(E140&gt;0.1,1,IF(E140&lt;=0.01,0,ROUND(E140*'Reference Standards'!$S$289+'Reference Standards'!$S$290,2)))))</f>
        <v/>
      </c>
      <c r="G140" s="100" t="str">
        <f>IFERROR(AVERAGE(F140),"")</f>
        <v/>
      </c>
      <c r="H140" s="535"/>
      <c r="I140" s="523"/>
      <c r="J140" s="523"/>
      <c r="K140" s="523"/>
    </row>
    <row r="141" spans="1:13" ht="15.75" x14ac:dyDescent="0.25">
      <c r="A141" s="465"/>
      <c r="B141" s="464" t="s">
        <v>54</v>
      </c>
      <c r="C141" s="78" t="s">
        <v>55</v>
      </c>
      <c r="D141" s="78"/>
      <c r="E141" s="209"/>
      <c r="F141" s="299" t="str">
        <f>IF(E141="","",   IF(AND('Quantification Tool'!$B$6="E",'Quantification Tool'!$B$9="Gravel"),ROUND(IF(OR(E141&lt;=2.3,E141&gt;=10.1),0,IF(E141&lt;4,E141*'Reference Standards'!$S$325+'Reference Standards'!$S$326,IF(E141&lt;=7.5,1,E141*'Reference Standards'!$T$325+'Reference Standards'!$T$326))),2),    IF(AND('Quantification Tool'!$B$6="E",'Quantification Tool'!$B$9="Sand"),ROUND(IF(OR(E141&lt;3,E141&gt;6.7),0,IF(E141&lt;=5,1,E141*'Reference Standards'!$S$357+'Reference Standards'!$S$358)),2),    IF(AND('Quantification Tool'!$B$6="C",OR('Quantification Tool'!$B$9="Gravel",'Quantification Tool'!$B$9="Sand")),ROUND(IF(OR(E141&lt;=2.3,E141&gt;=8.1),0,IF(E141&lt;4,E141*'Reference Standards'!$S$391+'Reference Standards'!$S$392,IF(E141&lt;=5.5,1,E141*'Reference Standards'!$T$391+'Reference Standards'!$T$392))),2), IF(AND(OR('Quantification Tool'!$B$6="Bc",'Quantification Tool'!$B$6="B"),'Quantification Tool'!$B$9="Gravel"),ROUND(IF(E141&gt;=7.1,0,IF(E141&gt;4.5,E141*'Reference Standards'!$S$423+'Reference Standards'!$S$424,1)),2))))))</f>
        <v/>
      </c>
      <c r="G141" s="506" t="str">
        <f>IFERROR(AVERAGE(F141:F144),"")</f>
        <v/>
      </c>
      <c r="H141" s="535"/>
      <c r="I141" s="523"/>
      <c r="J141" s="523"/>
      <c r="K141" s="523"/>
    </row>
    <row r="142" spans="1:13" ht="15.75" x14ac:dyDescent="0.25">
      <c r="A142" s="465"/>
      <c r="B142" s="465"/>
      <c r="C142" s="71" t="s">
        <v>56</v>
      </c>
      <c r="D142" s="71"/>
      <c r="E142" s="208"/>
      <c r="F142" s="300" t="str">
        <f>IF(E142="","",IF(E142&lt;1.25,0,IF(E142&gt;=2.8,1,IF(AND(OR('Quantification Tool'!B$6="B", 'Quantification Tool'!B$6="Bc"),'Quantification Tool'!$B$9="Gravel"),ROUND(E142^2*'Reference Standards'!S$489+E142*'Reference Standards'!S$490+'Reference Standards'!S$491,2), IF(AND(OR('Quantification Tool'!B$6="C", 'Quantification Tool'!B$6="E"),OR('Quantification Tool'!$B$9="Gravel",'Quantification Tool'!$B$9="Sand")), ROUND(IF(E142&lt;=1.7,E142*'Reference Standards'!$S$457+'Reference Standards'!$S$458,E142*'Reference Standards'!$T$457+'Reference Standards'!$T$458),2)    )))))</f>
        <v/>
      </c>
      <c r="G142" s="507"/>
      <c r="H142" s="535"/>
      <c r="I142" s="523"/>
      <c r="J142" s="523"/>
      <c r="K142" s="523"/>
    </row>
    <row r="143" spans="1:13" ht="15.75" x14ac:dyDescent="0.25">
      <c r="A143" s="465"/>
      <c r="B143" s="465"/>
      <c r="C143" s="71" t="s">
        <v>423</v>
      </c>
      <c r="D143" s="71"/>
      <c r="E143" s="208"/>
      <c r="F143" s="296" t="str">
        <f>IF(E143="","",IF(AND('Quantification Tool'!$B$6="E",OR('Quantification Tool'!$B$9="Sand",'Quantification Tool'!$B$9="Gravel")), IF(OR(E143&lt;20,E143&gt;73),0,ROUND(IF(E143&lt;25,E143*'Reference Standards'!$S$526+'Reference Standards'!$S$527,IF(E143&lt;35,1,E143^2*'Reference Standards'!$T$525+E143*'Reference Standards'!$T$526+'Reference Standards'!$T$527)),2)),  IF(AND('Quantification Tool'!$B$6="C",OR('Quantification Tool'!$B$9="Sand",'Quantification Tool'!$B$9="Gravel")), IF(OR(E143&lt;19,E143&gt;63),0,ROUND(IF(E143&lt;43,E143*'Reference Standards'!$S$560+'Reference Standards'!$S$561,IF(E143&lt;52,1,E143*'Reference Standards'!$T$560+'Reference Standards'!$T$561)),2)),IF(AND(OR('Quantification Tool'!$B$6="B",'Quantification Tool'!$B$6="Bc"),'Quantification Tool'!$B$9="Gravel"), IF(OR(E143&lt;18,E143&gt;82),0,ROUND(IF(E143&lt;30,E143^2*'Reference Standards'!$S$594+E143*'Reference Standards'!$S$595+'Reference Standards'!$S$596,IF(E143&lt;41,1,E143*'Reference Standards'!$T$595+'Reference Standards'!$T$596)),2))   ))))</f>
        <v/>
      </c>
      <c r="G143" s="507"/>
      <c r="H143" s="535"/>
      <c r="I143" s="523"/>
      <c r="J143" s="523"/>
      <c r="K143" s="523"/>
    </row>
    <row r="144" spans="1:13" ht="15.75" x14ac:dyDescent="0.25">
      <c r="A144" s="465"/>
      <c r="B144" s="466"/>
      <c r="C144" s="76" t="s">
        <v>254</v>
      </c>
      <c r="D144" s="71"/>
      <c r="E144" s="210"/>
      <c r="F144" s="297" t="str">
        <f>IF(E144="","",IF(E144&gt;=1.6,0,IF(E144&lt;=1,1,ROUND('Reference Standards'!$S$626*E144^3+'Reference Standards'!$S$627*E144^2+'Reference Standards'!$S$628*E144+'Reference Standards'!$S$629,2))))</f>
        <v/>
      </c>
      <c r="G144" s="508"/>
      <c r="H144" s="535"/>
      <c r="I144" s="523"/>
      <c r="J144" s="523"/>
      <c r="K144" s="523"/>
      <c r="L144" s="13"/>
    </row>
    <row r="145" spans="1:12" ht="15.75" x14ac:dyDescent="0.25">
      <c r="A145" s="466"/>
      <c r="B145" s="292" t="s">
        <v>58</v>
      </c>
      <c r="C145" s="305" t="s">
        <v>57</v>
      </c>
      <c r="D145" s="306"/>
      <c r="E145" s="203"/>
      <c r="F145" s="80" t="str">
        <f>IF(E145="","",IF(AND('Quantification Tool'!B$6="E",'Quantification Tool'!$B$9="Sand",'Quantification Tool'!$B$17="Unconfined Alluvial"),ROUND(IF(OR(E145&gt;1.8,E145&lt;1.3),0,IF(E145&lt;=1.6,1,E145*'Reference Standards'!S$660+'Reference Standards'!S$661)),2),    IF('Quantification Tool'!$B$17="Unconfined Alluvial",ROUND(IF(OR(E145&lt;1.2, E145&gt;1.5),0,IF(E145&lt;=1.4,1,E145*'Reference Standards'!$S$693+'Reference Standards'!$S$694)),2), IF('Quantification Tool'!$B$17="Confined Alluvial",ROUND(IF(E145&lt;1.15,0,IF(E145&lt;=1.4,E145*'Reference Standards'!$S$722+'Reference Standards'!$S$723,1)),2),  IF('Quantification Tool'!$B$17="Colluvial",ROUND(IF(E145&gt;1.3,0,IF(E145&gt;1.2,E145*'Reference Standards'!$S$753+'Reference Standards'!$S$754,1)),2) )))))</f>
        <v/>
      </c>
      <c r="G145" s="102" t="str">
        <f>IFERROR(AVERAGE(F145),"")</f>
        <v/>
      </c>
      <c r="H145" s="535"/>
      <c r="I145" s="523"/>
      <c r="J145" s="523"/>
      <c r="K145" s="523"/>
      <c r="L145" s="13"/>
    </row>
    <row r="146" spans="1:12" ht="15.75" x14ac:dyDescent="0.25">
      <c r="A146" s="527" t="s">
        <v>61</v>
      </c>
      <c r="B146" s="83" t="s">
        <v>103</v>
      </c>
      <c r="C146" s="87" t="s">
        <v>427</v>
      </c>
      <c r="D146" s="87"/>
      <c r="E146" s="53"/>
      <c r="F146" s="82" t="str">
        <f>IF(E146="","",ROUND(IF(E146&gt;=942,0,IF(E146&lt;=487,E146*'Reference Standards'!AB$15+'Reference Standards'!AB$16,E146*'Reference Standards'!$AC$15+'Reference Standards'!$AC$16)),2))</f>
        <v/>
      </c>
      <c r="G146" s="103" t="str">
        <f>IFERROR(AVERAGE(F146),"")</f>
        <v/>
      </c>
      <c r="H146" s="555" t="str">
        <f>IFERROR(ROUND(AVERAGE(G146:G149),2),"")</f>
        <v/>
      </c>
      <c r="I146" s="569" t="str">
        <f>IF(H146="","",IF(H146&gt;0.69,"Functioning",IF(H146&gt;0.29,"Functioning At Risk",IF(H146&gt;-1,"Not Functioning"))))</f>
        <v/>
      </c>
      <c r="J146" s="523"/>
      <c r="K146" s="523"/>
      <c r="L146" s="21"/>
    </row>
    <row r="147" spans="1:12" ht="15.75" x14ac:dyDescent="0.25">
      <c r="A147" s="528"/>
      <c r="B147" s="399" t="s">
        <v>476</v>
      </c>
      <c r="C147" s="81" t="s">
        <v>457</v>
      </c>
      <c r="D147" s="81"/>
      <c r="E147" s="203"/>
      <c r="F147" s="85" t="str">
        <f>IF(E147="","",IF(OR('Quantification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June")),IF(E147&gt;93,0,IF(E147&lt;13,1,ROUND('Reference Standards'!$AB$53*E147^2+'Reference Standards'!$AB$54*E147+'Reference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Tool'!$B$7="73b"),IF(E147&gt;94,0,IF(E147&lt;17,1,ROUND('Reference Standards'!$AC$53*E147^2+'Reference Standards'!$AC$54*E147+'Reference Standards'!$AC$55,2))),    IF(OR(AND(OR('Quantification Tool'!$B$7="68b",'Quantification Tool'!$B$7="71i"),'Quantification Tool'!$B$8&gt;2), 'Quantification Tool'!$B$7="71e"),IF(E147&gt;91,0,IF(E147&lt;24,1,ROUND('Reference Standards'!$AD$53*E147^2+'Reference Standards'!$AD$54*E147+'Reference Standards'!$AD$55,2))),  IF(OR(AND(OR('Quantification Tool'!$B$7="71f",'Quantification Tool'!$B$7="71g",'Quantification Tool'!$B$7="71h",'Quantification Tool'!$B$7="71i"),'Quantification Tool'!$B$8&lt;=2), AND('Quantification Tool'!$B$7="74a",'Quantification Tool'!$B$8&gt;2)),IF(E147&gt;95,0,IF(E147&lt;=36,1,ROUND('Reference Standards'!$AE$53*E147^2+'Reference Standards'!$AE$54*E147+'Reference Standards'!$AE$55,2))))))))</f>
        <v/>
      </c>
      <c r="G147" s="295" t="str">
        <f>IFERROR(AVERAGE(F147:F147),"")</f>
        <v/>
      </c>
      <c r="H147" s="556"/>
      <c r="I147" s="570"/>
      <c r="J147" s="523"/>
      <c r="K147" s="523"/>
      <c r="L147" s="21"/>
    </row>
    <row r="148" spans="1:12" ht="15.75" x14ac:dyDescent="0.25">
      <c r="A148" s="528"/>
      <c r="B148" s="83" t="s">
        <v>93</v>
      </c>
      <c r="C148" s="84" t="s">
        <v>326</v>
      </c>
      <c r="D148" s="84"/>
      <c r="E148" s="202"/>
      <c r="F148" s="85" t="str">
        <f>IF(E148="","",IF(OR('Quantification Tool'!$B$7="66e",'Quantification Tool'!$B$7="66f",'Quantification Tool'!$B$7="66g"), ROUND(IF(E148&gt;=0.61,0,IF(E148&lt;=0.01,1,IF(E148&lt;=0.06,E148*'Reference Standards'!$AD$197+'Reference Standards'!$AD$198,E148^2*'Reference Standards'!$AB$196+E148*'Reference Standards'!$AB$197+'Reference Standards'!$AB$198))),2),  IF('Quantification Tool'!$B$7="68b", ROUND(IF(E148&gt;=1.1,0,IF(E148&lt;=0.17,1,IF(E148&lt;=0.22,E148*'Reference Standards'!$AE$197+'Reference Standards'!$AE$198,E148^2*'Reference Standards'!$AC$196+E148*'Reference Standards'!$AC$197+'Reference Standards'!$AC$198))),2),IF('Quantification Tool'!$B$8&lt;=2.5,   IF('Quantification Tool'!$B$7="69de",ROUND(IF(E148&gt;=0.22,0,IF(E148&lt;=0.01,1,E148^2*'Reference Standards'!$AB$90+E148*'Reference Standards'!$AB$91+'Reference Standards'!$AB$92)),2),   IF('Quantification Tool'!$B$7="68c",ROUND(IF(E148&gt;=0.87,0,IF(E148&lt;=0.01,1,E148^2*'Reference Standards'!$AC$90+E148*'Reference Standards'!$AC$91+'Reference Standards'!$AC$92)),2),   IF('Quantification Tool'!$B$7="68a",ROUND(IF(E148&gt;=0.81,0,IF(E148&lt;=0.01,1,E148^2*'Reference Standards'!$AD$90+E148*'Reference Standards'!$AD$91+'Reference Standards'!$AD$92)),2),   IF('Quantification Tool'!$B$7="65abei",ROUND(IF(E148&gt;=0.67,0,IF(E148&lt;=0.01,1,IF(E148&lt;=0.18,E148*'Reference Standards'!$AG$91+'Reference Standards'!$AG$92,E148*'Reference Standards'!$AE$91+'Reference Standards'!$AE$92))),2),   IF('Quantification Tool'!$B$7="65j",ROUND(IF(E148&gt;=0.32,0,IF(E148&lt;=0.01,1,IF(E148&lt;=0.25,E148*'Reference Standards'!$AH$91+'Reference Standards'!$AH$92,E148*'Reference Standards'!$AF$91+'Reference Standards'!$AF$92))),2),   IF('Quantification Tool'!$B$7="71f",ROUND(IF(E148&gt;=3,0,IF(E148&lt;=0,1,IF(E148&lt;=0.01,0.7,E148^2*'Reference Standards'!$AB$126+E148*'Reference Standards'!$AB$127+'Reference Standards'!$AB$128))),2),   IF('Quantification Tool'!$B$7="74a",ROUND(IF(E148&gt;=0.14,0,IF(E148&lt;=0.01,1,IF(E148&lt;=0.02,0.7,E148^2*'Reference Standards'!$AC$126+E148*'Reference Standards'!$AC$127+'Reference Standards'!$AC$128))),2),   IF(OR('Quantification Tool'!$B$7="67fhi",'Quantification Tool'!$B$7="67g"),ROUND(IF(E148&gt;=1.9,0,IF(E148&lt;=0.01,1,IF(E148&lt;=0.05,E148*'Reference Standards'!$AF$127+'Reference Standards'!$AF$128,E148^2*'Reference Standards'!$AD$126+E148*'Reference Standards'!$AD$127+'Reference Standards'!$AD$128))),2),   IF('Quantification Tool'!$B$7="73a",ROUND(IF(E148&gt;=1.44,0,IF(E148&lt;=0.01,1,IF(E148&lt;=0.12,E148*'Reference Standards'!$AG$127+'Reference Standards'!$AG$128,E148^2*'Reference Standards'!$AE$126+E148*'Reference Standards'!$AE$127+'Reference Standards'!$AE$128))),2),   IF('Quantification Tool'!$B$7="66d",ROUND(IF(E148&gt;=0.46,0,IF(E148&lt;=0.02,1,IF(E148&lt;=0.08,E148*'Reference Standards'!$AF$163+'Reference Standards'!$AF$164,E148^2*'Reference Standards'!$AB$162+E148*'Reference Standards'!$AB$163+'Reference Standards'!$AB$164))),2),   IF(OR('Quantification Tool'!$B$7="71g",'Quantification Tool'!$B$7="71h",'Quantification Tool'!$B$7="71i"),ROUND(IF(E148&gt;=3,0,IF(E148&lt;=0.06,1,IF(E148&lt;=0.24,E148*'Reference Standards'!$AG$163+'Reference Standards'!$AG$164, E148^2*'Reference Standards'!$AC$162+E148*'Reference Standards'!$AC$163+'Reference Standards'!$AC$164))),2),   IF('Quantification Tool'!$B$7="74b",ROUND(IF(E148&gt;=1.3,0,IF(E148&lt;=0.29,1,IF(E148&lt;=0.48,E148*'Reference Standards'!$AH$163+'Reference Standards'!$AH$164,E148^2*'Reference Standards'!$AD$162+E148*'Reference Standards'!$AD$163+'Reference Standards'!$AD$164))),2),   IF('Quantification Tool'!$B$7="71e",ROUND(IF(E148&gt;=4.3,0,IF(E148&lt;=0.53,1,IF(E148&lt;=0.67,E148*'Reference Standards'!$AI$163+'Reference Standards'!$AI$164,E148^2*'Reference Standards'!$AE$162+E148*'Reference Standards'!$AE$163+'Reference Standards'!$AE$164))),2)       ))))))))))))),IF('Quantification Tool'!$B$8&gt;2.5,    IF('Quantification Tool'!$B$7="73a",ROUND(IF(E148&gt;=0.55,0,IF(E148&lt;=0,1,E148^2*'Reference Standards'!$AB$232+E148*'Reference Standards'!$AB$233+'Reference Standards'!$AB$234)),2),   IF('Quantification Tool'!$B$7="68a",ROUND(IF(E148&gt;=0.54,0,IF(E148&lt;=0,1, IF(E148&lt;=0.01,0.85, E148^2*'Reference Standards'!$AC$232+E148*'Reference Standards'!$AC$233+'Reference Standards'!$AC$234))),2),   IF('Quantification Tool'!$B$7="74a",ROUND(IF(E148&gt;=0.47,0,IF(E148&lt;=0.01,1, IF(E148&lt;=0.02,0.7, E148^2*'Reference Standards'!$AD$232+E148*'Reference Standards'!$AD$233+'Reference Standards'!$AD$234))),2),    IF('Quantification Tool'!$B$7="69de",ROUND(IF(E148&gt;=0.26,0,IF(E148&lt;=0.01,1, IF(E148&lt;=0.02,0.85, E148^2*'Reference Standards'!$AE$232+E148*'Reference Standards'!$AE$233+'Reference Standards'!$AE$234))),2),   IF('Quantification Tool'!$B$7="71f",ROUND(IF(E148&gt;=0.87,0,IF(E148&lt;=0.01,1,IF(E148&lt;=0.04,E148*'Reference Standards'!$AF$269+'Reference Standards'!$AF$270,E148^2*'Reference Standards'!$AB$268+E148*'Reference Standards'!$AB$269+'Reference Standards'!$AB$270))),2),  IF('Quantification Tool'!$B$7="65abei",ROUND(IF(E148&gt;=0.82,0,IF(E148&lt;=0.01,1,IF(E148&lt;=0.06,E148*'Reference Standards'!$AG$269+'Reference Standards'!$AG$270,E148^2*'Reference Standards'!$AC$268+E148*'Reference Standards'!$AC$269+'Reference Standards'!$AC$270))),2),  IF('Quantification Tool'!$B$7="65j",ROUND(IF(E148&gt;=0.33,0,IF(E148&lt;=0.03,1,IF(E148&lt;=0.09,E148*'Reference Standards'!$AH$269+'Reference Standards'!$AH$270,E148^2*'Reference Standards'!$AD$268+E148*'Reference Standards'!$AD$269+'Reference Standards'!$AD$270))),2),  IF('Quantification Tool'!$B$7="68c",ROUND(IF(E148&gt;=0.7,0,IF(E148&lt;=0.07,1,IF(E148&lt;=0.12,E148*'Reference Standards'!$AI$269+'Reference Standards'!$AI$270,E148^2*'Reference Standards'!$AE$268+E148*'Reference Standards'!$AE$269+'Reference Standards'!$AE$270))),2),   IF(OR('Quantification Tool'!$B$7="67fhi",'Quantification Tool'!$B$7="67g"),ROUND(IF(E148&gt;=1.8,0,IF(E148&lt;=0.08,1,IF(E148&lt;=0.2,E148*'Reference Standards'!$AF$306+'Reference Standards'!$AF$307,E148^2*'Reference Standards'!$AB$305+E148*'Reference Standards'!$AB$306+'Reference Standards'!$AB$307))),2),   IF('Quantification Tool'!$B$7="74b",ROUND(IF(E148&gt;=0.96,0,IF(E148&lt;=0.12,1,IF(E148&lt;=0.16,E148*'Reference Standards'!$AG$306+'Reference Standards'!$AG$307,E148^2*'Reference Standards'!$AC$305+E148*'Reference Standards'!$AC$306+'Reference Standards'!$AC$307))),2),   IF('Quantification Tool'!$B$7="66d",ROUND(IF(E148&gt;=0.75,0,IF(E148&lt;=0.13,1,IF(E148&lt;=0.2,E148*'Reference Standards'!$AH$306+'Reference Standards'!$AH$307,E148^2*'Reference Standards'!$AD$305+E148*'Reference Standards'!$AD$306+'Reference Standards'!$AD$307))),2),    IF(OR('Quantification Tool'!$B$7="71g",'Quantification Tool'!$B$7="71h",'Quantification Tool'!$B$7="71i"),ROUND(IF(E148&gt;=1.68,0,IF(E148&lt;=0.08,1,IF(E148&lt;=0.23,E148*'Reference Standards'!$AI$306+'Reference Standards'!$AI$307,E148^2*'Reference Standards'!$AE$305+E148*'Reference Standards'!$AE$306+'Reference Standards'!$AE$307))),2),   IF('Quantification Tool'!$B$7="71e",ROUND(IF(E148&gt;=5.3,0,IF(E148&lt;=0.94,1,IF(E148&lt;=1.4,E148*'Reference Standards'!$AF$310+'Reference Standards'!$AF$311,E148^2*'Reference Standards'!$AB$309+E148*'Reference Standards'!$AB$310+'Reference Standards'!$AB$311))),2))    )))))))))))))))))</f>
        <v/>
      </c>
      <c r="G148" s="104" t="str">
        <f>IFERROR(AVERAGE(F148),"")</f>
        <v/>
      </c>
      <c r="H148" s="556"/>
      <c r="I148" s="570"/>
      <c r="J148" s="523"/>
      <c r="K148" s="523"/>
      <c r="L148" s="21"/>
    </row>
    <row r="149" spans="1:12" ht="15.75" x14ac:dyDescent="0.25">
      <c r="A149" s="529"/>
      <c r="B149" s="293" t="s">
        <v>94</v>
      </c>
      <c r="C149" s="81" t="s">
        <v>325</v>
      </c>
      <c r="D149" s="81"/>
      <c r="E149" s="167"/>
      <c r="F149" s="82" t="str">
        <f>IF(E149="","",IF('Quantification Tool'!$B$8&gt;2.5,IF(OR('Quantification Tool'!$B$7="71h",'Quantification Tool'!$B$7="71i",'Quantification Tool'!$B$7="73a",'Quantification Tool'!$B$7="74a"),IF(E149&lt;=0.01,1,IF(OR('Quantification Tool'!$B$7="71h",'Quantification Tool'!$B$7="71i"),IF(E149&gt;0.37,0,ROUND(IF(E149&gt;0.03,'Reference Standards'!$AB$425*E149^2+'Reference Standards'!$AB$426*E149+'Reference Standards'!$AB$427,'Reference Standards'!$AF$426*E149+'Reference Standards'!$AF$427),2)),  IF('Quantification Tool'!$B$7="73a",IF(E149&gt;0.405,0,ROUND(IF(E149&gt;0.046,'Reference Standards'!$AC$425*E149^2+'Reference Standards'!$AC$426*E149+'Reference Standards'!$AC$427,'Reference Standards'!$AG$426*E149+'Reference Standards'!$AG$427),2)),IF('Quantification Tool'!$B$7="74a",IF(E149&gt;0.3,0,ROUND(IF(E149&gt;0.052,'Reference Standards'!$AD$425*E149^2+'Reference Standards'!$AD$426*E149+'Reference Standards'!$AD$427,'Reference Standards'!$AH$426*E149+'Reference Standards'!$AH$427),2)))))),   IF(E149&lt;=0.002,1,IF(OR('Quantification Tool'!$B$7="66d",'Quantification Tool'!$B$7="66e",'Quantification Tool'!$B$7="66g"),IF(E149&gt;0.053,0,ROUND(E149^2*'Reference Standards'!$AB$347+E149*'Reference Standards'!$AB$348+'Reference Standards'!$AB$349,2)), IF('Quantification Tool'!$B$7="68b",IF(E149&gt;0.05,0,ROUND(E149^2*'Reference Standards'!$AC$347+E149*'Reference Standards'!$AC$348+'Reference Standards'!$AC$349,2)),  IF(OR('Quantification Tool'!$B$7="68a",'Quantification Tool'!$B$7="68c"),IF(E149&gt;0.07,0,ROUND(E149^2*'Reference Standards'!$AD$347+E149*'Reference Standards'!$AD$348+'Reference Standards'!$AD$349,2)), IF(OR('Quantification Tool'!$B$7="71f",'Quantification Tool'!$B$7="71g"),IF(E149&gt;0.13,0,ROUND(IF(E149&gt;0.042,E149*'Reference Standards'!$AE$348+'Reference Standards'!$AE$349,E149*'Reference Standards'!$AF$348+'Reference Standards'!$AF$349),2)), IF('Quantification Tool'!$B$7="67fhi",IF(E149&gt;0.16,0,ROUND(E149^2*'Reference Standards'!$AG$347+E149*'Reference Standards'!$AG$348+'Reference Standards'!$AG$349,2)),  IF('Quantification Tool'!$B$7="65j",IF(E149&gt;0.035,0,ROUND(IF(E149&lt;=0.003,0.7,E149^2*'Reference Standards'!$AB$387+E149*'Reference Standards'!$AB$388+'Reference Standards'!$AB$389),2)),IF('Quantification Tool'!$B$7="69de",IF(E149&gt;0.037,0,ROUND(IF(E149&lt;=0.003,0.7,E149^2*'Reference Standards'!$AC$387+E149*'Reference Standards'!$AC$388+'Reference Standards'!$AC$389),2)),IF('Quantification Tool'!$B$7="71e",IF(E149&gt;0.23,0,ROUND(IF(E149&lt;=0.003,0.7,E149^2*'Reference Standards'!$AD$387+E149*'Reference Standards'!$AD$388+'Reference Standards'!$AD$389),2)),IF('Quantification Tool'!$B$7="66f",IF(E149&gt;0.06,0,ROUND(IF(E149&lt;=0.003,0.85,IF(E149&lt;=0.004,0.7,E149^2*'Reference Standards'!$AE$387+E149*'Reference Standards'!$AE$388+'Reference Standards'!$AE$389)),2)),IF('Quantification Tool'!$B$7="67g",IF(E149&gt;0.11,0,ROUND(IF(E149&lt;=0.01,E149*'Reference Standards'!$AH$388+'Reference Standards'!$AH$389, E149^2*'Reference Standards'!$AF$387+E149*'Reference Standards'!$AF$388+'Reference Standards'!$AF$389),2)),IF('Quantification Tool'!$B$7="74b",IF(E149&gt;0.49,0,ROUND(IF(E149&lt;=0.01,E149*'Reference Standards'!$AH$388+'Reference Standards'!$AH$389, E149^2*'Reference Standards'!$AG$387+E149*'Reference Standards'!$AG$388+'Reference Standards'!$AG$389),2)),IF('Quantification Tool'!$B$7="65abei",IF(E149&gt;0.199,0,ROUND(IF(E149&lt;=0.01,E149*'Reference Standards'!$AI$426+'Reference Standards'!$AI$427, E149^2*'Reference Standards'!$AE$425+E149*'Reference Standards'!$AE$426+'Reference Standards'!$AE$427),2))    )))))))))))))),      IF('Quantification Tool'!$B$8&lt;=2.5, IF(OR('Quantification Tool'!$B$7="66d",'Quantification Tool'!$B$7="66e",'Quantification Tool'!$B$7="66g"),IF(E149&gt;0.05,0,ROUND(IF(E149&lt;=0.002,1,IF(E149&lt;=0.005,E149*'Reference Standards'!$AF$464+'Reference Standards'!$AF$465, E149^2*'Reference Standards'!$AB$463+E149*'Reference Standards'!$AB$464+'Reference Standards'!$AB$465)),2)), IF('Quantification Tool'!$B$7="67fhi",IF(E149&gt;0.1,0,ROUND(IF(E149&lt;=0.002,1,IF(E149&lt;=0.006,E149*'Reference Standards'!$AG$464+'Reference Standards'!$AG$465, E149^2*'Reference Standards'!$AC$463+E149*'Reference Standards'!$AC$464+'Reference Standards'!$AC$465)),2)), IF('Quantification Tool'!$B$7="65abei",IF(E149&gt;0.13,0,ROUND(IF(E149&lt;=0.003,1,IF(E149&lt;=0.008,E149*'Reference Standards'!$AH$464+'Reference Standards'!$AH$465, E149^2*'Reference Standards'!$AD$463+E149*'Reference Standards'!$AD$464+'Reference Standards'!$AD$465)),2)), IF('Quantification Tool'!$B$7="68b",IF(E149&gt;0.043,0,ROUND(IF(E149&lt;=0.004,1, IF(E149&lt;=0.005,0.7, E149^2*'Reference Standards'!$AE$463+E149*'Reference Standards'!$AE$464+'Reference Standards'!$AE$465)),2)), IF('Quantification Tool'!$B$7="69de",IF(E149&gt;=0.034,0,ROUND(IF(E149&lt;=0.003,1, IF(E149&lt;=0.006,E149*'Reference Standards'!$AG$500+'Reference Standards'!$AG$501, E149*'Reference Standards'!$AB$500+'Reference Standards'!$AB$501)),2)), IF(OR('Quantification Tool'!$B$7="68a",'Quantification Tool'!$B$7="68c"),IF(E149&gt;0.202,0,ROUND(IF(E149&lt;=0.003,1, IF(E149&lt;=0.006,E149*'Reference Standards'!$AG$500+'Reference Standards'!$AG$501, IF(E149&gt;=0.04,E149*'Reference Standards'!$AC$500+'Reference Standards'!$AC$501,E149*'Reference Standards'!$AE$500+'Reference Standards'!$AE$501))),2)), IF(OR('Quantification Tool'!$B$7="71f",'Quantification Tool'!$B$7="71g"),IF(E149&gt;0.631,0,ROUND(IF(E149&lt;=0.003,1, IF(E149&lt;=0.006,E149*'Reference Standards'!$AG$500+'Reference Standards'!$AG$501, IF(E149&gt;=0.17,E149*'Reference Standards'!$AD$500+'Reference Standards'!$AD$501,E149*'Reference Standards'!$AF$500+'Reference Standards'!$AF$501))),2)),   IF('Quantification Tool'!$B$7="71e",IF(E149&gt;1.23,0,ROUND(IF(E149&lt;=0.004,1,IF(E149&lt;=0.006,E149*'Reference Standards'!$AF$538+'Reference Standards'!$AF$539, E149^2*'Reference Standards'!$AB$537+E149*'Reference Standards'!$AB$538+'Reference Standards'!$AB$539)),2)), IF('Quantification Tool'!$B$7="67g",IF(E149&gt;0.11,0,ROUND(IF(E149&lt;=0.006,1,IF(E149&lt;=0.011,E149*'Reference Standards'!$AG$538+'Reference Standards'!$AG$539, E149^2*'Reference Standards'!$AC$537+E149*'Reference Standards'!$AC$538+'Reference Standards'!$AC$539)),2)), IF('Quantification Tool'!$B$7="65j",IF(E149&gt;0.046,0,ROUND(IF(E149&lt;=0.007,1,IF(E149&lt;=0.012,E149*'Reference Standards'!$AH$538+'Reference Standards'!$AH$539, E149^2*'Reference Standards'!$AD$537+E149*'Reference Standards'!$AD$538+'Reference Standards'!$AD$539)),2)), IF('Quantification Tool'!$B$7="66f",IF(E149&gt;0.081,0,ROUND(IF(E149&lt;=0.008,1,IF(E149&lt;=0.011,E149*'Reference Standards'!$AI$538+'Reference Standards'!$AI$539, E149^2*'Reference Standards'!$AE$537+E149*'Reference Standards'!$AE$538+'Reference Standards'!$AE$539)),2)), IF(OR('Quantification Tool'!$B$7="71h",'Quantification Tool'!$B$7="71i"),IF(E149&gt;0.37,0,ROUND(IF(E149&lt;=0.013,1,IF(E149&lt;=0.032,E149*'Reference Standards'!$AH$576+'Reference Standards'!$AH$577, IF(E149&lt;=0.3,E149*'Reference Standards'!$AF$576+'Reference Standards'!$AF$577,E149*'Reference Standards'!$AB$576+'Reference Standards'!$AB$577))),2)), IF('Quantification Tool'!$B$7="73a",IF(E149&gt;0.448,0,ROUND(IF(E149&lt;=0.071,1,IF(E149&lt;=0.086,E149*'Reference Standards'!$AJ$576+'Reference Standards'!$AJ$577, IF(E149&lt;=0.165,E149*'Reference Standards'!$AG$576+'Reference Standards'!$AG$577,E149*'Reference Standards'!$AE$576+'Reference Standards'!$AE$577))),2)),  IF('Quantification Tool'!$B$7="74b",IF(E149&gt;0.43,0,ROUND(IF(E149&lt;=0.018,1,IF(E149&lt;=0.019,0.85, IF(E149&lt;=0.02,0.7, E149^2*'Reference Standards'!$AC$575+E149*'Reference Standards'!$AC$576+'Reference Standards'!$AC$577))),2)), IF('Quantification Tool'!$B$7="74a",IF(E149&gt;0.217,0,ROUND(IF(E149&lt;=0.02,1,IF(E149&lt;=0.033,E149*'Reference Standards'!$AI$576+'Reference Standards'!$AI$577, E149^2*'Reference Standards'!$AD$575+E149*'Reference Standards'!$AD$576+'Reference Standards'!$AD$577)),2))     ))))))))))))))))))</f>
        <v/>
      </c>
      <c r="G149" s="105" t="str">
        <f>IFERROR(AVERAGE(F149),"")</f>
        <v/>
      </c>
      <c r="H149" s="557"/>
      <c r="I149" s="571"/>
      <c r="J149" s="523"/>
      <c r="K149" s="523"/>
      <c r="L149" s="21"/>
    </row>
    <row r="150" spans="1:12" ht="15.75" x14ac:dyDescent="0.25">
      <c r="A150" s="538" t="s">
        <v>62</v>
      </c>
      <c r="B150" s="517" t="s">
        <v>432</v>
      </c>
      <c r="C150" s="154" t="s">
        <v>419</v>
      </c>
      <c r="D150" s="155"/>
      <c r="E150" s="209"/>
      <c r="F150" s="219" t="str">
        <f>IF(E150="","",IF(OR('Quantification Tool'!B$7="73a",'Quantification Tool'!B$7="73b"),IF(E150&lt;1,0,IF(E150&gt;=30,1,ROUND(IF(E150&lt;22,'Reference Standards'!$AL$16*E150+'Reference Standards'!$AL$17,'Reference Standards'!$AM$16*E150+'Reference Standards'!$AM$17),2))), IF(E150&lt;1,0, IF(E150&gt;=42,1, ROUND(IF(E150&lt;32,'Reference Standards'!$AN$16*E150+'Reference Standards'!$AN$17,'Reference Standards'!$AO$16*E150+'Reference Standards'!$AO$17),2)))))</f>
        <v/>
      </c>
      <c r="G150" s="558" t="str">
        <f>IFERROR(AVERAGE(F150:F153),"")</f>
        <v/>
      </c>
      <c r="H150" s="537" t="str">
        <f>IFERROR(ROUND(AVERAGE(G150:G155),2),"")</f>
        <v/>
      </c>
      <c r="I150" s="572" t="str">
        <f>IF(H150="","",IF(H150&gt;0.69,"Functioning",IF(H150&gt;0.29,"Functioning At Risk",IF(H150&gt;-1,"Not Functioning"))))</f>
        <v/>
      </c>
      <c r="J150" s="523"/>
      <c r="K150" s="523"/>
      <c r="L150" s="21"/>
    </row>
    <row r="151" spans="1:12" ht="15.75" x14ac:dyDescent="0.25">
      <c r="A151" s="539"/>
      <c r="B151" s="518"/>
      <c r="C151" s="217" t="s">
        <v>424</v>
      </c>
      <c r="D151" s="218"/>
      <c r="E151" s="208"/>
      <c r="F151" s="221" t="str">
        <f>IF(E151="","",IF(AND('Quantification Tool'!$B$7="74b",'Quantification Tool'!$B$8&lt;=2),IF(E151&lt;0,0,IF(E151&gt;15.6,0.69,ROUND('Reference Standards'!$AL$54*E151^2+'Reference Standards'!$AL$55*E151+'Reference Standards'!$AL$56,2))),IF(AND('Quantification Tool'!$B$7="65abei",'Quantification Tool'!$B$8&lt;=2),IF(E151&lt;0,0,IF(E151&gt;=20,0.69,ROUND('Reference Standards'!$AM$54*E151^2+'Reference Standards'!$AM$55*E151+'Reference Standards'!$AM$56,2))),IF(OR(AND('Quantification Tool'!$B$7="74a",'Quantification Tool'!$B$8&gt;2,'Quantification Tool'!$B$14="January - June"),AND('Quantification Tool'!$B$7="71i",'Quantification Tool'!$B$8&gt;2,'Quantification Tool'!$B$15="SQBANK")),IF(E151&lt;0,0,IF(E151&gt;24.7,0.69,ROUND('Reference Standards'!$AN$54*E151^2+'Reference Standards'!$AN$55*E151+'Reference Standards'!$AN$56,2))),IF(OR('Quantification Tool'!$B$7="74b",'Quantification Tool'!$B$7="65abei"),IF(E151&lt;0,0,IF(E151&gt;32.7,0.69,ROUND('Reference Standards'!$AO$54*E151^2+'Reference Standards'!$AO$55*E151+'Reference Standards'!$AO$56,2))),IF(AND('Quantification Tool'!$B$7="68b",'Quantification Tool'!$B$8&gt;2),IF(E151&lt;0,0,IF(E151&gt;41.2,0.69,ROUND('Reference Standards'!$AP$54*E151^2+'Reference Standards'!$AP$55*E151+'Reference Standards'!$AP$56,2))),IF(OR(AND('Quantification Tool'!$B$7="71i",'Quantification Tool'!$B$8&lt;=2),AND(OR('Quantification Tool'!$B$7="68c",'Quantification Tool'!$B$7="68d"),'Quantification Tool'!$B$14="January - June")),IF(E151&lt;0,0,IF(E151&gt;49.2,0.69,ROUND('Reference Standards'!$AL$94*E151^2+'Reference Standards'!$AL$95*E151+'Reference Standards'!$AL$96,2))),IF(OR(AND('Quantification Tool'!$B$7="68a",'Quantification Tool'!$B$14="January - June"),AND(OR('Quantification Tool'!$B$7="68c",'Quantification Tool'!$B$7="68d"),'Quantification Tool'!$B$14="July - December")),IF(E151&lt;0,0,IF(E151&gt;53.4,0.69,ROUND('Reference Standards'!$AM$94*E151^2+'Reference Standards'!$AM$95*E151+'Reference Standards'!$AM$96,2))),IF(OR(AND('Quantification Tool'!$B$7="71i",'Quantification Tool'!$B$8&gt;2,'Quantification Tool'!$B$15="SQKICK"),AND(OR('Quantification Tool'!$B$7="67fhi",'Quantification Tool'!$B$7="67g"),'Quantification Tool'!$B$8&lt;=2),'Quantification Tool'!$B$7="65j"),IF(E151&lt;0,0,IF(E151&gt;57.8,0.69,ROUND('Reference Standards'!$AN$94*E151^2+'Reference Standards'!$AN$95*E151+'Reference Standards'!$AN$96,2))),IF(OR(AND('Quantification Tool'!$B$7="74a",'Quantification Tool'!$B$8&gt;2,'Quantification Tool'!$B$14="July - December"),AND(OR('Quantification Tool'!$B$7="67fhi",'Quantification Tool'!$B$7="67g"),'Quantification Tool'!$B$8&gt;2),'Quantification Tool'!$B$7="69de"),IF(E151&lt;0,0,IF(E151&gt;62.5,0.69,ROUND('Reference Standards'!$AO$94*E151^2+'Reference Standards'!$AO$95*E151+'Reference Standards'!$AO$96,2))),  IF(OR('Quantification Tool'!$B$7="66d",'Quantification Tool'!$B$7="66e",'Quantification Tool'!$B$7="66ik",'Quantification Tool'!$B$7="71e",'Quantification Tool'!$B$7="71f",'Quantification Tool'!$B$7="71g",'Quantification Tool'!$B$7="71h"),IF(E151&lt;0,0,IF(E151&gt;66.5,0.69,ROUND('Reference Standards'!$AP$94*E151^2+'Reference Standards'!$AP$95*E151+'Reference Standards'!$AP$96,2))),IF(OR('Quantification Tool'!$B$7="66f",'Quantification Tool'!$B$7="66g",'Quantification Tool'!$B$7="66j",AND('Quantification Tool'!$B$7="68a",'Quantification Tool'!$B$14="July - December")), IF(E151&lt;0,0,IF(E151&gt;69,0.69,ROUND('Reference Standards'!$AQ$94*E151^2+'Reference Standards'!$AQ$95*E151+'Reference Standards'!$AQ$96,2))))   )))))))))))</f>
        <v/>
      </c>
      <c r="G151" s="558"/>
      <c r="H151" s="537"/>
      <c r="I151" s="572"/>
      <c r="J151" s="523"/>
      <c r="K151" s="523"/>
      <c r="L151" s="21"/>
    </row>
    <row r="152" spans="1:12" ht="15.75" x14ac:dyDescent="0.25">
      <c r="A152" s="539"/>
      <c r="B152" s="518"/>
      <c r="C152" s="217" t="s">
        <v>428</v>
      </c>
      <c r="D152" s="218"/>
      <c r="E152" s="208"/>
      <c r="F152" s="221" t="str">
        <f>IF(E152="","",IF(AND('Quantification Tool'!$B$7="74b",'Quantification Tool'!$B$8&lt;=2),IF(E152&lt;0,0,IF(E152&gt;8.1,0.69,ROUND('Reference Standards'!$AL$131*E152^2+'Reference Standards'!$AL$132*E152+'Reference Standards'!$AL$133,2))),IF(OR('Quantification Tool'!$B$7="73a",'Quantification Tool'!$B$7="73b"),IF(E152&lt;0,0,IF(E152&gt;=28,0.69,ROUND('Reference Standards'!$AM$131*E152^2+'Reference Standards'!$AM$132*E152+'Reference Standards'!$AM$133,2))),IF(AND('Quantification Tool'!$B$7="74a",'Quantification Tool'!$B$8&gt;2,'Quantification Tool'!$B$14="January - June"),IF(E152&lt;0,0,IF(E152&gt;=32.5,0.69,ROUND('Reference Standards'!$AN$131*E152^2+'Reference Standards'!$AN$132*E152+'Reference Standards'!$AN$133,2))),IF(AND('Quantification Tool'!$B$7="71i",'Quantification Tool'!$B$8&gt;2,'Quantification Tool'!$B$15="SQBANK"),IF(E152&lt;0,0,IF(E152&gt;=37,0.69,ROUND('Reference Standards'!$AO$131*E152^2+'Reference Standards'!$AO$132*E152+'Reference Standards'!$AO$133,2))),IF(OR(AND(OR('Quantification Tool'!$B$7="65abei",'Quantification Tool'!$B$7="74b"),'Quantification Tool'!$B$8&gt;2),AND('Quantification Tool'!$B$7="71i",'Quantification Tool'!$B$8&gt;2,'Quantification Tool'!$B$15="SQKICK")),IF(E152&lt;0,0,IF(E152&gt;42.6,0.69,ROUND('Reference Standards'!$AP$131*E152^2+'Reference Standards'!$AP$132*E152+'Reference Standards'!$AP$133,2))),     IF(OR(AND('Quantification Tool'!$B$7="65abei",'Quantification Tool'!$B$8&lt;=2),AND(OR('Quantification Tool'!$B$7="68c",'Quantification Tool'!$B$7="68d"),'Quantification Tool'!$B$14="July - December"),'Quantification Tool'!$B$7="71e"),IF(E152&lt;0,0,IF(E152&gt;=48,0.69,ROUND('Reference Standards'!$AL$171*E152^2+'Reference Standards'!$AL$172*E152+'Reference Standards'!$AL$173,2))),IF(OR('Quantification Tool'!$B$7="65j",'Quantification Tool'!$B$7="67fhi",'Quantification Tool'!$B$7="67g",AND('Quantification Tool'!$B$7="74a",'Quantification Tool'!$B$14="July - December",'Quantification Tool'!$B$8&gt;2),AND('Quantification Tool'!$B$7="71i",'Quantification Tool'!$B$8&lt;=2)),IF(E152&lt;0,0,IF(E152&gt;=53,0.69,ROUND('Reference Standards'!$AM$171*E152^2+'Reference Standards'!$AM$172*E152+'Reference Standards'!$AM$173,2))),IF(OR(AND(OR('Quantification Tool'!$B$7="68b",'Quantification Tool'!$B$7="71f",'Quantification Tool'!$B$7="71g",'Quantification Tool'!$B$7="71h"),'Quantification Tool'!$B$8&gt;2),'Quantification Tool'!$B$7="68a"),IF(E152&lt;0,0,IF(E152&gt;=57,0.69,ROUND('Reference Standards'!$AN$171*E152^2+'Reference Standards'!$AN$172*E152+'Reference Standards'!$AN$173,2))),IF(OR('Quantification Tool'!$B$7="66f",'Quantification Tool'!$B$7="66g",'Quantification Tool'!$B$7="66j",AND(OR('Quantification Tool'!$B$7="71f",'Quantification Tool'!$B$7="71g",'Quantification Tool'!$B$7="71h"),'Quantification Tool'!$B$8&lt;=2)),IF(E152&lt;0,0,IF(E152&gt;=60,0.69,ROUND('Reference Standards'!$AO$171*E152^2+'Reference Standards'!$AO$172*E152+'Reference Standards'!$AO$173,2))),  IF(OR('Quantification Tool'!$B$7="66d",'Quantification Tool'!$B$7="66e",'Quantification Tool'!$B$7="66ik", AND(OR('Quantification Tool'!$B$7="68c",'Quantification Tool'!$B$7="68d"),'Quantification Tool'!$B$14="January - June"),AND('Quantification Tool'!$B$7="69de",'Quantification Tool'!$B$14="July - December")),IF(E152&lt;0,0,IF(E152&gt;=67.5,0.69,ROUND('Reference Standards'!$AP$171*E152^2+'Reference Standards'!$AP$172*E152+'Reference Standards'!$AP$173,2))),IF(AND('Quantification Tool'!$B$7="69de",'Quantification Tool'!$B$14="January - June"), IF(E152&lt;0,0,IF(E152&gt;=72,0.69,ROUND('Reference Standards'!$AQ$171*E152^2+'Reference Standards'!$AQ$172*E152+'Reference Standards'!$AQ$173,2))))   )))))))))))</f>
        <v/>
      </c>
      <c r="G152" s="558"/>
      <c r="H152" s="537"/>
      <c r="I152" s="572"/>
      <c r="J152" s="523"/>
      <c r="K152" s="523"/>
      <c r="L152" s="21"/>
    </row>
    <row r="153" spans="1:12" ht="15.75" x14ac:dyDescent="0.25">
      <c r="A153" s="539"/>
      <c r="B153" s="519"/>
      <c r="C153" s="156" t="s">
        <v>425</v>
      </c>
      <c r="D153" s="88"/>
      <c r="E153" s="210"/>
      <c r="F153" s="221" t="str">
        <f>IF(E153="","",IF(OR('Quantification Tool'!$B$7="67fhi",'Quantification Tool'!$B$7="67g",'Quantification Tool'!$B$7="71e",'Quantification Tool'!$B$7="73a",'Quantification Tool'!$B$7="73b",AND(OR('Quantification Tool'!$B$7="71f",'Quantification Tool'!$B$7="71g",'Quantification Tool'!$B$7="71h"),'Quantification Tool'!$B$8&gt;2)),IF(E153&gt;100,0,IF(E153&lt;15,0.69,ROUND('Reference Standards'!$AL$208*E153^2+'Reference Standards'!$AL$209*E153+'Reference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),IF(E153&gt;100,0,IF(E153&lt;19,0.69,ROUND('Reference Standards'!$AM$208*E153^2+'Reference Standards'!$AM$209*E153+'Reference Standards'!$AM$210,2))),    IF(OR(AND('Quantification Tool'!$B$7="69de",'Quantification Tool'!$B$14="January - June"),AND('Quantification Tool'!$B$7="71i",'Quantification Tool'!$B$8&gt;2,'Quantification Tool'!$B$15="SQKICK" )),IF(E153&gt;100,0,IF(E153&lt;22,0.69,ROUND('Reference Standards'!$AN$208*E153^2+'Reference Standards'!$AN$209*E153+'Reference Standards'!$AN$210,2))),    IF(OR('Quantification Tool'!$B$7="65j",AND('Quantification Tool'!$B$7="68b",'Quantification Tool'!$B$8&gt;2)),IF(E153&gt;100,0,IF(E153&lt;24,0.69,ROUND('Reference Standards'!$AO$208*E153^2+'Reference Standards'!$AO$209*E153+'Reference Standards'!$AO$210,2))),    IF(AND(OR('Quantification Tool'!$B$7="65abei",'Quantification Tool'!$B$7="71f",'Quantification Tool'!$B$7="71g",'Quantification Tool'!$B$7="71h"),'Quantification Tool'!$B$8&lt;=2),IF(E153&gt;95,0,IF(E153&lt;33,0.69,ROUND('Reference Standards'!$AL$246*E153^2+'Reference Standards'!$AL$247*E153+'Reference Standards'!$AL$248,2))),   IF(AND(OR('Quantification Tool'!$B$7="65abei",'Quantification Tool'!$B$7="74b"),'Quantification Tool'!$B$8&gt;2),IF(E153&gt;97,0,IF(E153&lt;36,0.69,ROUND('Reference Standards'!$AM$246*E153^2+'Reference Standards'!$AM$247*E153+'Reference Standards'!$AM$248,2))),  IF(AND('Quantification Tool'!$B$7="74a",'Quantification Tool'!$B$14="January - June",'Quantification Tool'!$B$8&gt;2),IF(E153&gt;93,0,IF(E153&lt;52,0.69,ROUND('Reference Standards'!$AN$246*E153^2+'Reference Standards'!$AN$247*E153+'Reference Standards'!$AN$248,2))),   IF(AND('Quantification Tool'!$B$7="74b",'Quantification Tool'!$B$8&lt;=2),IF(E153&gt;97,0,IF(E153&lt;62,0.69,ROUND('Reference Standards'!$AO$246*E153^2+'Reference Standards'!$AO$247*E153+'Reference Standards'!$AO$248,2)))  )))))))))</f>
        <v/>
      </c>
      <c r="G153" s="558"/>
      <c r="H153" s="537"/>
      <c r="I153" s="572"/>
      <c r="J153" s="523"/>
      <c r="K153" s="523"/>
      <c r="L153" s="21"/>
    </row>
    <row r="154" spans="1:12" ht="15.75" x14ac:dyDescent="0.25">
      <c r="A154" s="539"/>
      <c r="B154" s="530" t="s">
        <v>86</v>
      </c>
      <c r="C154" s="154" t="s">
        <v>255</v>
      </c>
      <c r="D154" s="155"/>
      <c r="E154" s="209"/>
      <c r="F154" s="219" t="str">
        <f>IF(E154="","",IF(E154=1,0.15,IF(E154=3,0.5,IF(E154=5,0.85,0))))</f>
        <v/>
      </c>
      <c r="G154" s="531" t="str">
        <f>IFERROR(AVERAGE(F154:F155),"")</f>
        <v/>
      </c>
      <c r="H154" s="537"/>
      <c r="I154" s="572"/>
      <c r="J154" s="523"/>
      <c r="K154" s="523"/>
      <c r="L154" s="21"/>
    </row>
    <row r="155" spans="1:12" ht="15.75" x14ac:dyDescent="0.25">
      <c r="A155" s="540"/>
      <c r="B155" s="530"/>
      <c r="C155" s="156" t="s">
        <v>420</v>
      </c>
      <c r="D155" s="88"/>
      <c r="E155" s="210"/>
      <c r="F155" s="220" t="str">
        <f>IF(E155="","",IF(E155=1,0.15,IF(E155=3,0.5,IF(E155=5,0.85,0))))</f>
        <v/>
      </c>
      <c r="G155" s="532"/>
      <c r="H155" s="537"/>
      <c r="I155" s="572"/>
      <c r="J155" s="523"/>
      <c r="K155" s="523"/>
      <c r="L155" s="21"/>
    </row>
    <row r="156" spans="1:12" x14ac:dyDescent="0.25">
      <c r="L156" s="21"/>
    </row>
    <row r="157" spans="1:12" ht="21" x14ac:dyDescent="0.35">
      <c r="A157" s="188" t="s">
        <v>173</v>
      </c>
      <c r="B157" s="312"/>
      <c r="C157" s="315" t="s">
        <v>395</v>
      </c>
      <c r="D157" s="312"/>
      <c r="E157" s="313"/>
      <c r="F157" s="314"/>
      <c r="G157" s="450" t="s">
        <v>18</v>
      </c>
      <c r="H157" s="451"/>
      <c r="I157" s="451"/>
      <c r="J157" s="451"/>
      <c r="K157" s="452"/>
      <c r="L157" s="21"/>
    </row>
    <row r="158" spans="1:12" ht="15.75" x14ac:dyDescent="0.25">
      <c r="A158" s="176" t="s">
        <v>1</v>
      </c>
      <c r="B158" s="176" t="s">
        <v>2</v>
      </c>
      <c r="C158" s="498" t="s">
        <v>3</v>
      </c>
      <c r="D158" s="573"/>
      <c r="E158" s="176" t="s">
        <v>15</v>
      </c>
      <c r="F158" s="176" t="s">
        <v>16</v>
      </c>
      <c r="G158" s="176" t="s">
        <v>19</v>
      </c>
      <c r="H158" s="176" t="s">
        <v>20</v>
      </c>
      <c r="I158" s="176" t="s">
        <v>20</v>
      </c>
      <c r="J158" s="176" t="s">
        <v>21</v>
      </c>
      <c r="K158" s="60" t="s">
        <v>21</v>
      </c>
    </row>
    <row r="159" spans="1:12" ht="15.75" x14ac:dyDescent="0.25">
      <c r="A159" s="453" t="s">
        <v>68</v>
      </c>
      <c r="B159" s="294" t="s">
        <v>99</v>
      </c>
      <c r="C159" s="62" t="s">
        <v>421</v>
      </c>
      <c r="D159" s="62"/>
      <c r="E159" s="202"/>
      <c r="F159" s="173" t="str">
        <f>IF(E159="","",IF(E159&gt;78,0,IF(E159&lt;30,1,ROUND('Reference Standards'!C$14*E159^2+'Reference Standards'!C$15*E159+'Reference Standards'!C$16,2))))</f>
        <v/>
      </c>
      <c r="G159" s="101" t="str">
        <f>IFERROR(AVERAGE(F159),"")</f>
        <v/>
      </c>
      <c r="H159" s="460" t="str">
        <f>IFERROR(ROUND(AVERAGE(G159:G163),2),"")</f>
        <v/>
      </c>
      <c r="I159" s="572" t="str">
        <f>IF(H159="","",IF(H159&gt;0.69,"Functioning",IF(H159&gt;0.29,"Functioning At Risk",IF(H159&gt;-1,"Not Functioning"))))</f>
        <v/>
      </c>
      <c r="J159" s="523" t="str">
        <f>IF(AND(H159="",H164="",H166="",H185="",H189=""),"",ROUND((IF(H159="",0,H159)*0.2)+(IF(H164="",0,H164)*0.2)+(IF(H166="",0,H166)*0.2)+(IF(H185="",0,H185)*0.2)+(IF(H189="",0,H189)*0.2),2))</f>
        <v/>
      </c>
      <c r="K159" s="523" t="str">
        <f>IF(J159="","",IF(J159&lt;0.3, "Not Functioning",IF(OR(H159&lt;0.7,H164&lt;0.7,H166&lt;0.7,H185&lt;0.7,H189&lt;0.7),"Functioning At Risk",IF(J159&lt;0.7,"Functioning At Risk","Functioning"))))</f>
        <v/>
      </c>
    </row>
    <row r="160" spans="1:12" ht="15.75" x14ac:dyDescent="0.25">
      <c r="A160" s="454"/>
      <c r="B160" s="541" t="s">
        <v>154</v>
      </c>
      <c r="C160" s="170" t="s">
        <v>202</v>
      </c>
      <c r="D160" s="169"/>
      <c r="E160" s="167"/>
      <c r="F160" s="173" t="str">
        <f>IF(E160="","",IF(E160&gt;=1,1,IF(E160&lt;=0,0,ROUND(E160,2))))</f>
        <v/>
      </c>
      <c r="G160" s="544" t="str">
        <f>IFERROR(AVERAGE(F160:F163),"")</f>
        <v/>
      </c>
      <c r="H160" s="461"/>
      <c r="I160" s="572"/>
      <c r="J160" s="523"/>
      <c r="K160" s="523"/>
    </row>
    <row r="161" spans="1:11" ht="15.75" x14ac:dyDescent="0.25">
      <c r="A161" s="454"/>
      <c r="B161" s="542"/>
      <c r="C161" s="171" t="s">
        <v>155</v>
      </c>
      <c r="D161" s="62"/>
      <c r="E161" s="202"/>
      <c r="F161" s="63" t="str">
        <f>IF(E161="","",IF(E161&gt;3,0,IF(E161=0,1,ROUND('Reference Standards'!C$49*E161+'Reference Standards'!C$50,2))))</f>
        <v/>
      </c>
      <c r="G161" s="545"/>
      <c r="H161" s="461"/>
      <c r="I161" s="572"/>
      <c r="J161" s="523"/>
      <c r="K161" s="523"/>
    </row>
    <row r="162" spans="1:11" ht="15.75" x14ac:dyDescent="0.25">
      <c r="A162" s="454"/>
      <c r="B162" s="542"/>
      <c r="C162" s="171" t="s">
        <v>429</v>
      </c>
      <c r="D162" s="62"/>
      <c r="E162" s="202"/>
      <c r="F162" s="63" t="str">
        <f>IF(E162="","",IF(E162&gt;=30,1,ROUND(E162^2*'Reference Standards'!$C$82+E162*'Reference Standards'!$C$83+'Reference Standards'!$C$84,2)))</f>
        <v/>
      </c>
      <c r="G162" s="545"/>
      <c r="H162" s="461"/>
      <c r="I162" s="572"/>
      <c r="J162" s="523"/>
      <c r="K162" s="523"/>
    </row>
    <row r="163" spans="1:11" ht="15.75" x14ac:dyDescent="0.25">
      <c r="A163" s="454"/>
      <c r="B163" s="543"/>
      <c r="C163" s="172" t="s">
        <v>391</v>
      </c>
      <c r="D163" s="64"/>
      <c r="E163" s="203"/>
      <c r="F163" s="168" t="str">
        <f>IF(E163="","",IF('Quantification Tool'!B$16="Sandy",IF(E163&gt;1.94,0,IF(E163&lt;1.45,1,ROUND(E163*'Reference Standards'!$C$118+'Reference Standards'!$C$119,2))),IF('Quantification Tool'!B$16="Silty",IF(E163&gt;1.83,0,IF(E163&lt;1.21,1,ROUND(E163*'Reference Standards'!$D$118+'Reference Standards'!$D$119,2))),IF('Quantification Tool'!B$16="Clayey",IF(E163&gt;1.74,0,IF(E163&lt;0.82,1,ROUND(E163*'Reference Standards'!$E$118+'Reference Standards'!$E$119,2)))))))</f>
        <v/>
      </c>
      <c r="G163" s="546"/>
      <c r="H163" s="461"/>
      <c r="I163" s="572"/>
      <c r="J163" s="523"/>
      <c r="K163" s="523"/>
    </row>
    <row r="164" spans="1:11" ht="15.75" x14ac:dyDescent="0.25">
      <c r="A164" s="547" t="s">
        <v>6</v>
      </c>
      <c r="B164" s="547" t="s">
        <v>7</v>
      </c>
      <c r="C164" s="66" t="s">
        <v>8</v>
      </c>
      <c r="D164" s="66"/>
      <c r="E164" s="202"/>
      <c r="F164" s="67" t="str">
        <f>IF(E164="","",ROUND(IF(E164&gt;1.6,0,IF(E164&lt;=1,1,E164^2*'Reference Standards'!K$14+E164*'Reference Standards'!K$15+'Reference Standards'!K$16)),2))</f>
        <v/>
      </c>
      <c r="G164" s="504" t="str">
        <f>IFERROR(AVERAGE(F164:F165),"")</f>
        <v/>
      </c>
      <c r="H164" s="504" t="str">
        <f>IFERROR(ROUND(AVERAGE(G164),2),"")</f>
        <v/>
      </c>
      <c r="I164" s="574" t="str">
        <f>IF(H164="","",IF(H164&gt;0.69,"Functioning",IF(H164&gt;0.29,"Functioning At Risk",IF(H164&gt;-1,"Not Functioning"))))</f>
        <v/>
      </c>
      <c r="J164" s="523"/>
      <c r="K164" s="523"/>
    </row>
    <row r="165" spans="1:11" ht="15.75" x14ac:dyDescent="0.25">
      <c r="A165" s="549"/>
      <c r="B165" s="548"/>
      <c r="C165" s="66" t="s">
        <v>9</v>
      </c>
      <c r="D165" s="66"/>
      <c r="E165" s="203"/>
      <c r="F165" s="67" t="str">
        <f>IF(E165="","",(IF(OR('Quantification Tool'!B$6="A",'Quantification Tool'!B$6="B",'Quantification Tool'!$B$6="Bc"),IF(E165&lt;1.2,0,IF(E165&gt;=2.2,1,ROUND(IF(E165&lt;1.4,E165*'Reference Standards'!$K$84+'Reference Standards'!$K$85,E165*'Reference Standards'!$L$84+'Reference Standards'!$L$85),2))),IF(OR('Quantification Tool'!B$6="C",'Quantification Tool'!B$6="E"),IF(E165&lt;2,0,IF(E165&gt;=5,1,ROUND(IF(E165&lt;2.4,E165*'Reference Standards'!$L$49+'Reference Standards'!$L$50,E165*'Reference Standards'!$K$49+'Reference Standards'!$K$50),2)))))))</f>
        <v/>
      </c>
      <c r="G165" s="533"/>
      <c r="H165" s="505"/>
      <c r="I165" s="575"/>
      <c r="J165" s="523"/>
      <c r="K165" s="523"/>
    </row>
    <row r="166" spans="1:11" ht="15.75" x14ac:dyDescent="0.25">
      <c r="A166" s="464" t="s">
        <v>27</v>
      </c>
      <c r="B166" s="553" t="s">
        <v>28</v>
      </c>
      <c r="C166" s="74" t="s">
        <v>422</v>
      </c>
      <c r="D166" s="308"/>
      <c r="E166" s="75"/>
      <c r="F166" s="310" t="str">
        <f>IF(E166="","",IF(E166&gt;700,1,IF(E166&lt;300,ROUND('Reference Standards'!$S$14*(E166^2)+'Reference Standards'!$S$15*E166+'Reference Standards'!$S$16,2),ROUND('Reference Standards'!$T$15*E166+'Reference Standards'!$T$16,2))))</f>
        <v/>
      </c>
      <c r="G166" s="506" t="str">
        <f>IFERROR(AVERAGE(F166:F167),"")</f>
        <v/>
      </c>
      <c r="H166" s="534" t="str">
        <f>IFERROR(ROUND(AVERAGE(G166:G184),2),"")</f>
        <v/>
      </c>
      <c r="I166" s="523" t="str">
        <f>IF(H166="","",IF(H166&gt;0.69,"Functioning",IF(H166&gt;0.29,"Functioning At Risk",IF(H166&gt;-1,"Not Functioning"))))</f>
        <v/>
      </c>
      <c r="J166" s="523"/>
      <c r="K166" s="523"/>
    </row>
    <row r="167" spans="1:11" ht="15.75" x14ac:dyDescent="0.25">
      <c r="A167" s="465"/>
      <c r="B167" s="554"/>
      <c r="C167" s="77" t="s">
        <v>394</v>
      </c>
      <c r="D167" s="309"/>
      <c r="E167" s="65"/>
      <c r="F167" s="311" t="str">
        <f>IF(E167="","",IF(E167&gt;=30,1,IF(E167&lt;16,ROUND('Reference Standards'!$S$47*(E167^2)+'Reference Standards'!$S$48*E167+'Reference Standards'!$S$49,2),ROUND('Reference Standards'!$T$48*E167+'Reference Standards'!$T$49,2))))</f>
        <v/>
      </c>
      <c r="G167" s="508"/>
      <c r="H167" s="534"/>
      <c r="I167" s="523"/>
      <c r="J167" s="523"/>
      <c r="K167" s="523"/>
    </row>
    <row r="168" spans="1:11" ht="15.75" x14ac:dyDescent="0.25">
      <c r="A168" s="465"/>
      <c r="B168" s="465" t="s">
        <v>51</v>
      </c>
      <c r="C168" s="71" t="s">
        <v>92</v>
      </c>
      <c r="D168" s="71"/>
      <c r="E168" s="167"/>
      <c r="F168" s="72" t="str">
        <f>IF(E168="","",ROUND(IF(E168&gt;0.7,0,IF(E168&lt;=0.1,1,E168^3*'Reference Standards'!S$81+E168^2*'Reference Standards'!S$82+E168*'Reference Standards'!S$83+'Reference Standards'!S$84)),2))</f>
        <v/>
      </c>
      <c r="G168" s="551" t="str">
        <f>IFERROR(IF(E168="",AVERAGE(F169:F170),IF(E169="",F168,MAX(F168,AVERAGE(F169:F170)))),"")</f>
        <v/>
      </c>
      <c r="H168" s="535"/>
      <c r="I168" s="523"/>
      <c r="J168" s="523"/>
      <c r="K168" s="523"/>
    </row>
    <row r="169" spans="1:11" ht="15.75" x14ac:dyDescent="0.25">
      <c r="A169" s="465"/>
      <c r="B169" s="465"/>
      <c r="C169" s="71" t="s">
        <v>52</v>
      </c>
      <c r="D169" s="71"/>
      <c r="E169" s="202"/>
      <c r="F169" s="72" t="str">
        <f>IF(E169="","",IF(OR(E169="Ex/Ex",E169="Ex/VH"),0, IF(OR(E169="Ex/H",E169="VH/Ex",E169="VH/VH", E169="H/Ex",E169="H/VH",E169="M/Ex"),0.1,IF(OR(E169="Ex/M",E169="VH/H",E169="H/H", E169="M/VH"),0.2, IF(OR(E169="Ex/L",E169="VH/M",E169="H/M", E169="M/H",E169="L/Ex"),0.3, IF(OR(E169="Ex/VL",E169="VH/L",E169="H/L"),0.4, IF(OR(E169="VH/VL",E169="H/VL",E169="M/M", E169="L/VH"),0.5, IF(OR(E169="M/L",E169="L/H"),0.6, IF(OR(E169="M/VL",E169="L/M"),0.7, IF(OR(E169="L/L",E169="L/VL"),1))))))))))</f>
        <v/>
      </c>
      <c r="G169" s="551"/>
      <c r="H169" s="535"/>
      <c r="I169" s="523"/>
      <c r="J169" s="523"/>
      <c r="K169" s="523"/>
    </row>
    <row r="170" spans="1:11" ht="15.75" x14ac:dyDescent="0.25">
      <c r="A170" s="465"/>
      <c r="B170" s="466"/>
      <c r="C170" s="73" t="s">
        <v>102</v>
      </c>
      <c r="D170" s="73"/>
      <c r="E170" s="203"/>
      <c r="F170" s="80" t="str">
        <f>IF(E170="","",ROUND(IF(E170&gt;40,0,IF(E170&lt;5,1,E170^3*'Reference Standards'!S$116+E170^2*'Reference Standards'!S$117+E170*'Reference Standards'!S$118+'Reference Standards'!S$119)),2))</f>
        <v/>
      </c>
      <c r="G170" s="551"/>
      <c r="H170" s="535"/>
      <c r="I170" s="523"/>
      <c r="J170" s="523"/>
      <c r="K170" s="523"/>
    </row>
    <row r="171" spans="1:11" ht="15.75" x14ac:dyDescent="0.25">
      <c r="A171" s="465"/>
      <c r="B171" s="465" t="s">
        <v>53</v>
      </c>
      <c r="C171" s="74" t="s">
        <v>120</v>
      </c>
      <c r="D171" s="78"/>
      <c r="E171" s="167"/>
      <c r="F171" s="90" t="str">
        <f>IF(E171="","",ROUND(IF(E171&gt;90,1,E171^2*'Reference Standards'!S$151+E171*'Reference Standards'!S$152+'Reference Standards'!S$153),2))</f>
        <v/>
      </c>
      <c r="G171" s="550" t="str">
        <f>IFERROR(ROUND(AVERAGE(F171:F178),2),"")</f>
        <v/>
      </c>
      <c r="H171" s="535"/>
      <c r="I171" s="523"/>
      <c r="J171" s="523"/>
      <c r="K171" s="523"/>
    </row>
    <row r="172" spans="1:11" ht="15.75" x14ac:dyDescent="0.25">
      <c r="A172" s="465"/>
      <c r="B172" s="465"/>
      <c r="C172" s="76" t="s">
        <v>121</v>
      </c>
      <c r="D172" s="71"/>
      <c r="E172" s="202"/>
      <c r="F172" s="72" t="str">
        <f>IF(E172="","",ROUND(IF(E172&gt;90,1,E172^2*'Reference Standards'!S$151+E172*'Reference Standards'!S$152+'Reference Standards'!S$153),2))</f>
        <v/>
      </c>
      <c r="G172" s="551"/>
      <c r="H172" s="535"/>
      <c r="I172" s="523"/>
      <c r="J172" s="523"/>
      <c r="K172" s="523"/>
    </row>
    <row r="173" spans="1:11" ht="15.75" x14ac:dyDescent="0.25">
      <c r="A173" s="465"/>
      <c r="B173" s="465"/>
      <c r="C173" s="76" t="s">
        <v>430</v>
      </c>
      <c r="D173" s="71"/>
      <c r="E173" s="202"/>
      <c r="F173" s="72" t="str">
        <f>IF(E173="","",ROUND(IF(OR('Quantification Tool'!B$6="A",'Quantification Tool'!B$6="B",'Quantification Tool'!B$6="Bc"),IF(E173&gt;=50,1, IF(E173&lt;30, E173*'Reference Standards'!#REF!+'Reference Standards'!#REF!, E173*'Reference Standards'!#REF!+'Reference Standards'!#REF!)), IF(E173&gt;=150,1,IF(E173&lt;48, E173^2*'Reference Standards'!S$220+E173*'Reference Standards'!S$221+'Reference Standards'!S$222, E173*'Reference Standards'!T$220+'Reference Standards'!T$221))),2))</f>
        <v/>
      </c>
      <c r="G173" s="551"/>
      <c r="H173" s="535"/>
      <c r="I173" s="523"/>
      <c r="J173" s="523"/>
      <c r="K173" s="523"/>
    </row>
    <row r="174" spans="1:11" ht="15.75" x14ac:dyDescent="0.25">
      <c r="A174" s="465"/>
      <c r="B174" s="465"/>
      <c r="C174" s="76" t="s">
        <v>431</v>
      </c>
      <c r="D174" s="71"/>
      <c r="E174" s="202"/>
      <c r="F174" s="72" t="str">
        <f>IF(E174="","",ROUND(IF(OR('Quantification Tool'!B$6="A",'Quantification Tool'!B$6="B",'Quantification Tool'!B$6="Bc"),IF(E174&gt;=50,1, IF(E174&lt;30, E174*'Reference Standards'!#REF!+'Reference Standards'!#REF!, E174*'Reference Standards'!#REF!+'Reference Standards'!#REF!)), IF(E174&gt;=150,1,IF(E174&lt;45, E174^2*'Reference Standards'!S$220+E174*'Reference Standards'!S$221+'Reference Standards'!S$222, E174*'Reference Standards'!T$220+'Reference Standards'!T$221))),2))</f>
        <v/>
      </c>
      <c r="G174" s="551"/>
      <c r="H174" s="535"/>
      <c r="I174" s="523"/>
      <c r="J174" s="523"/>
      <c r="K174" s="523"/>
    </row>
    <row r="175" spans="1:11" ht="15.75" x14ac:dyDescent="0.25">
      <c r="A175" s="465"/>
      <c r="B175" s="465"/>
      <c r="C175" s="71" t="s">
        <v>128</v>
      </c>
      <c r="D175" s="71"/>
      <c r="E175" s="202"/>
      <c r="F175" s="72" t="str">
        <f>IF(E175="","",ROUND(IF(E175&gt;100,1,E175^2*'Reference Standards'!S$185+E175*'Reference Standards'!S$186+'Reference Standards'!S$187),2))</f>
        <v/>
      </c>
      <c r="G175" s="551"/>
      <c r="H175" s="535"/>
      <c r="I175" s="523"/>
      <c r="J175" s="523"/>
      <c r="K175" s="523"/>
    </row>
    <row r="176" spans="1:11" ht="15.75" x14ac:dyDescent="0.25">
      <c r="A176" s="465"/>
      <c r="B176" s="465"/>
      <c r="C176" s="71" t="s">
        <v>129</v>
      </c>
      <c r="D176" s="71"/>
      <c r="E176" s="202"/>
      <c r="F176" s="72" t="str">
        <f>IF(E176="","",ROUND(IF(E176&gt;100,1,E176^2*'Reference Standards'!S$185+E176*'Reference Standards'!S$186+'Reference Standards'!S$187),2))</f>
        <v/>
      </c>
      <c r="G176" s="551"/>
      <c r="H176" s="535"/>
      <c r="I176" s="523"/>
      <c r="J176" s="523"/>
      <c r="K176" s="523"/>
    </row>
    <row r="177" spans="1:13" ht="15.75" x14ac:dyDescent="0.25">
      <c r="A177" s="465"/>
      <c r="B177" s="465"/>
      <c r="C177" s="76" t="s">
        <v>165</v>
      </c>
      <c r="D177" s="71"/>
      <c r="E177" s="202"/>
      <c r="F177" s="72" t="str">
        <f>IF(E177="","",ROUND(IF(E177&gt;=300,0.5,E177*'Reference Standards'!S$253),2))</f>
        <v/>
      </c>
      <c r="G177" s="551"/>
      <c r="H177" s="535"/>
      <c r="I177" s="523"/>
      <c r="J177" s="523"/>
      <c r="K177" s="523"/>
      <c r="M177" s="21"/>
    </row>
    <row r="178" spans="1:13" ht="15.75" x14ac:dyDescent="0.25">
      <c r="A178" s="465"/>
      <c r="B178" s="466"/>
      <c r="C178" s="77" t="s">
        <v>166</v>
      </c>
      <c r="D178" s="79"/>
      <c r="E178" s="202"/>
      <c r="F178" s="72" t="str">
        <f>IF(E178="","",ROUND(IF(E178&gt;=300,0.5,E178*'Reference Standards'!S$253),2))</f>
        <v/>
      </c>
      <c r="G178" s="552"/>
      <c r="H178" s="535"/>
      <c r="I178" s="523"/>
      <c r="J178" s="523"/>
      <c r="K178" s="523"/>
    </row>
    <row r="179" spans="1:13" ht="15.75" x14ac:dyDescent="0.25">
      <c r="A179" s="465"/>
      <c r="B179" s="69" t="s">
        <v>130</v>
      </c>
      <c r="C179" s="89" t="s">
        <v>168</v>
      </c>
      <c r="D179" s="71"/>
      <c r="E179" s="53"/>
      <c r="F179" s="234" t="str">
        <f>IF(E179="","",IF('Quantification Tool'!B$9="Gravel",IF(E179&gt;0.1,1,IF(E179&lt;=0.01,0,ROUND(E179*'Reference Standards'!$S$289+'Reference Standards'!$S$290,2)))))</f>
        <v/>
      </c>
      <c r="G179" s="100" t="str">
        <f>IFERROR(AVERAGE(F179),"")</f>
        <v/>
      </c>
      <c r="H179" s="535"/>
      <c r="I179" s="523"/>
      <c r="J179" s="523"/>
      <c r="K179" s="523"/>
    </row>
    <row r="180" spans="1:13" ht="15.75" x14ac:dyDescent="0.25">
      <c r="A180" s="465"/>
      <c r="B180" s="464" t="s">
        <v>54</v>
      </c>
      <c r="C180" s="78" t="s">
        <v>55</v>
      </c>
      <c r="D180" s="78"/>
      <c r="E180" s="209"/>
      <c r="F180" s="299" t="str">
        <f>IF(E180="","",   IF(AND('Quantification Tool'!$B$6="E",'Quantification Tool'!$B$9="Gravel"),ROUND(IF(OR(E180&lt;=2.3,E180&gt;=10.1),0,IF(E180&lt;4,E180*'Reference Standards'!$S$325+'Reference Standards'!$S$326,IF(E180&lt;=7.5,1,E180*'Reference Standards'!$T$325+'Reference Standards'!$T$326))),2),    IF(AND('Quantification Tool'!$B$6="E",'Quantification Tool'!$B$9="Sand"),ROUND(IF(OR(E180&lt;3,E180&gt;6.7),0,IF(E180&lt;=5,1,E180*'Reference Standards'!$S$357+'Reference Standards'!$S$358)),2),    IF(AND('Quantification Tool'!$B$6="C",OR('Quantification Tool'!$B$9="Gravel",'Quantification Tool'!$B$9="Sand")),ROUND(IF(OR(E180&lt;=2.3,E180&gt;=8.1),0,IF(E180&lt;4,E180*'Reference Standards'!$S$391+'Reference Standards'!$S$392,IF(E180&lt;=5.5,1,E180*'Reference Standards'!$T$391+'Reference Standards'!$T$392))),2), IF(AND(OR('Quantification Tool'!$B$6="Bc",'Quantification Tool'!$B$6="B"),'Quantification Tool'!$B$9="Gravel"),ROUND(IF(E180&gt;=7.1,0,IF(E180&gt;4.5,E180*'Reference Standards'!$S$423+'Reference Standards'!$S$424,1)),2))))))</f>
        <v/>
      </c>
      <c r="G180" s="506" t="str">
        <f>IFERROR(AVERAGE(F180:F183),"")</f>
        <v/>
      </c>
      <c r="H180" s="535"/>
      <c r="I180" s="523"/>
      <c r="J180" s="523"/>
      <c r="K180" s="523"/>
    </row>
    <row r="181" spans="1:13" ht="15.75" x14ac:dyDescent="0.25">
      <c r="A181" s="465"/>
      <c r="B181" s="465"/>
      <c r="C181" s="71" t="s">
        <v>56</v>
      </c>
      <c r="D181" s="71"/>
      <c r="E181" s="208"/>
      <c r="F181" s="300" t="str">
        <f>IF(E181="","",IF(E181&lt;1.25,0,IF(E181&gt;=2.8,1,IF(AND(OR('Quantification Tool'!B$6="B", 'Quantification Tool'!B$6="Bc"),'Quantification Tool'!$B$9="Gravel"),ROUND(E181^2*'Reference Standards'!S$489+E181*'Reference Standards'!S$490+'Reference Standards'!S$491,2), IF(AND(OR('Quantification Tool'!B$6="C", 'Quantification Tool'!B$6="E"),OR('Quantification Tool'!$B$9="Gravel",'Quantification Tool'!$B$9="Sand")), ROUND(IF(E181&lt;=1.7,E181*'Reference Standards'!$S$457+'Reference Standards'!$S$458,E181*'Reference Standards'!$T$457+'Reference Standards'!$T$458),2)    )))))</f>
        <v/>
      </c>
      <c r="G181" s="507"/>
      <c r="H181" s="535"/>
      <c r="I181" s="523"/>
      <c r="J181" s="523"/>
      <c r="K181" s="523"/>
    </row>
    <row r="182" spans="1:13" ht="15.75" x14ac:dyDescent="0.25">
      <c r="A182" s="465"/>
      <c r="B182" s="465"/>
      <c r="C182" s="71" t="s">
        <v>423</v>
      </c>
      <c r="D182" s="71"/>
      <c r="E182" s="208"/>
      <c r="F182" s="296" t="str">
        <f>IF(E182="","",IF(AND('Quantification Tool'!$B$6="E",OR('Quantification Tool'!$B$9="Sand",'Quantification Tool'!$B$9="Gravel")), IF(OR(E182&lt;20,E182&gt;73),0,ROUND(IF(E182&lt;25,E182*'Reference Standards'!$S$526+'Reference Standards'!$S$527,IF(E182&lt;35,1,E182^2*'Reference Standards'!$T$525+E182*'Reference Standards'!$T$526+'Reference Standards'!$T$527)),2)),  IF(AND('Quantification Tool'!$B$6="C",OR('Quantification Tool'!$B$9="Sand",'Quantification Tool'!$B$9="Gravel")), IF(OR(E182&lt;19,E182&gt;63),0,ROUND(IF(E182&lt;43,E182*'Reference Standards'!$S$560+'Reference Standards'!$S$561,IF(E182&lt;52,1,E182*'Reference Standards'!$T$560+'Reference Standards'!$T$561)),2)),IF(AND(OR('Quantification Tool'!$B$6="B",'Quantification Tool'!$B$6="Bc"),'Quantification Tool'!$B$9="Gravel"), IF(OR(E182&lt;18,E182&gt;82),0,ROUND(IF(E182&lt;30,E182^2*'Reference Standards'!$S$594+E182*'Reference Standards'!$S$595+'Reference Standards'!$S$596,IF(E182&lt;41,1,E182*'Reference Standards'!$T$595+'Reference Standards'!$T$596)),2))   ))))</f>
        <v/>
      </c>
      <c r="G182" s="507"/>
      <c r="H182" s="535"/>
      <c r="I182" s="523"/>
      <c r="J182" s="523"/>
      <c r="K182" s="523"/>
    </row>
    <row r="183" spans="1:13" ht="15.75" x14ac:dyDescent="0.25">
      <c r="A183" s="465"/>
      <c r="B183" s="466"/>
      <c r="C183" s="76" t="s">
        <v>254</v>
      </c>
      <c r="D183" s="71"/>
      <c r="E183" s="210"/>
      <c r="F183" s="297" t="str">
        <f>IF(E183="","",IF(E183&gt;=1.6,0,IF(E183&lt;=1,1,ROUND('Reference Standards'!$S$626*E183^3+'Reference Standards'!$S$627*E183^2+'Reference Standards'!$S$628*E183+'Reference Standards'!$S$629,2))))</f>
        <v/>
      </c>
      <c r="G183" s="508"/>
      <c r="H183" s="535"/>
      <c r="I183" s="523"/>
      <c r="J183" s="523"/>
      <c r="K183" s="523"/>
      <c r="L183" s="13"/>
    </row>
    <row r="184" spans="1:13" ht="15.75" x14ac:dyDescent="0.25">
      <c r="A184" s="466"/>
      <c r="B184" s="292" t="s">
        <v>58</v>
      </c>
      <c r="C184" s="305" t="s">
        <v>57</v>
      </c>
      <c r="D184" s="306"/>
      <c r="E184" s="203"/>
      <c r="F184" s="80" t="str">
        <f>IF(E184="","",IF(AND('Quantification Tool'!B$6="E",'Quantification Tool'!$B$9="Sand",'Quantification Tool'!$B$17="Unconfined Alluvial"),ROUND(IF(OR(E184&gt;1.8,E184&lt;1.3),0,IF(E184&lt;=1.6,1,E184*'Reference Standards'!S$660+'Reference Standards'!S$661)),2),    IF('Quantification Tool'!$B$17="Unconfined Alluvial",ROUND(IF(OR(E184&lt;1.2, E184&gt;1.5),0,IF(E184&lt;=1.4,1,E184*'Reference Standards'!$S$693+'Reference Standards'!$S$694)),2), IF('Quantification Tool'!$B$17="Confined Alluvial",ROUND(IF(E184&lt;1.15,0,IF(E184&lt;=1.4,E184*'Reference Standards'!$S$722+'Reference Standards'!$S$723,1)),2),  IF('Quantification Tool'!$B$17="Colluvial",ROUND(IF(E184&gt;1.3,0,IF(E184&gt;1.2,E184*'Reference Standards'!$S$753+'Reference Standards'!$S$754,1)),2) )))))</f>
        <v/>
      </c>
      <c r="G184" s="102" t="str">
        <f>IFERROR(AVERAGE(F184),"")</f>
        <v/>
      </c>
      <c r="H184" s="535"/>
      <c r="I184" s="523"/>
      <c r="J184" s="523"/>
      <c r="K184" s="523"/>
      <c r="L184" s="13"/>
    </row>
    <row r="185" spans="1:13" ht="15.75" x14ac:dyDescent="0.25">
      <c r="A185" s="527" t="s">
        <v>61</v>
      </c>
      <c r="B185" s="83" t="s">
        <v>103</v>
      </c>
      <c r="C185" s="87" t="s">
        <v>427</v>
      </c>
      <c r="D185" s="87"/>
      <c r="E185" s="53"/>
      <c r="F185" s="82" t="str">
        <f>IF(E185="","",ROUND(IF(E185&gt;=942,0,IF(E185&lt;=487,E185*'Reference Standards'!AB$15+'Reference Standards'!AB$16,E185*'Reference Standards'!$AC$15+'Reference Standards'!$AC$16)),2))</f>
        <v/>
      </c>
      <c r="G185" s="103" t="str">
        <f>IFERROR(AVERAGE(F185),"")</f>
        <v/>
      </c>
      <c r="H185" s="555" t="str">
        <f>IFERROR(ROUND(AVERAGE(G185:G188),2),"")</f>
        <v/>
      </c>
      <c r="I185" s="569" t="str">
        <f>IF(H185="","",IF(H185&gt;0.69,"Functioning",IF(H185&gt;0.29,"Functioning At Risk",IF(H185&gt;-1,"Not Functioning"))))</f>
        <v/>
      </c>
      <c r="J185" s="523"/>
      <c r="K185" s="523"/>
      <c r="L185" s="21"/>
    </row>
    <row r="186" spans="1:13" ht="15.75" x14ac:dyDescent="0.25">
      <c r="A186" s="528"/>
      <c r="B186" s="399" t="s">
        <v>476</v>
      </c>
      <c r="C186" s="81" t="s">
        <v>457</v>
      </c>
      <c r="D186" s="81"/>
      <c r="E186" s="203"/>
      <c r="F186" s="85" t="str">
        <f>IF(E186="","",IF(OR('Quantification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June")),IF(E186&gt;93,0,IF(E186&lt;13,1,ROUND('Reference Standards'!$AB$53*E186^2+'Reference Standards'!$AB$54*E186+'Reference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Tool'!$B$7="73b"),IF(E186&gt;94,0,IF(E186&lt;17,1,ROUND('Reference Standards'!$AC$53*E186^2+'Reference Standards'!$AC$54*E186+'Reference Standards'!$AC$55,2))),    IF(OR(AND(OR('Quantification Tool'!$B$7="68b",'Quantification Tool'!$B$7="71i"),'Quantification Tool'!$B$8&gt;2), 'Quantification Tool'!$B$7="71e"),IF(E186&gt;91,0,IF(E186&lt;24,1,ROUND('Reference Standards'!$AD$53*E186^2+'Reference Standards'!$AD$54*E186+'Reference Standards'!$AD$55,2))),  IF(OR(AND(OR('Quantification Tool'!$B$7="71f",'Quantification Tool'!$B$7="71g",'Quantification Tool'!$B$7="71h",'Quantification Tool'!$B$7="71i"),'Quantification Tool'!$B$8&lt;=2), AND('Quantification Tool'!$B$7="74a",'Quantification Tool'!$B$8&gt;2)),IF(E186&gt;95,0,IF(E186&lt;=36,1,ROUND('Reference Standards'!$AE$53*E186^2+'Reference Standards'!$AE$54*E186+'Reference Standards'!$AE$55,2))))))))</f>
        <v/>
      </c>
      <c r="G186" s="295" t="str">
        <f>IFERROR(AVERAGE(F186:F186),"")</f>
        <v/>
      </c>
      <c r="H186" s="556"/>
      <c r="I186" s="570"/>
      <c r="J186" s="523"/>
      <c r="K186" s="523"/>
      <c r="L186" s="21"/>
    </row>
    <row r="187" spans="1:13" ht="15.75" x14ac:dyDescent="0.25">
      <c r="A187" s="528"/>
      <c r="B187" s="83" t="s">
        <v>93</v>
      </c>
      <c r="C187" s="84" t="s">
        <v>326</v>
      </c>
      <c r="D187" s="84"/>
      <c r="E187" s="202"/>
      <c r="F187" s="85" t="str">
        <f>IF(E187="","",IF(OR('Quantification Tool'!$B$7="66e",'Quantification Tool'!$B$7="66f",'Quantification Tool'!$B$7="66g"), ROUND(IF(E187&gt;=0.61,0,IF(E187&lt;=0.01,1,IF(E187&lt;=0.06,E187*'Reference Standards'!$AD$197+'Reference Standards'!$AD$198,E187^2*'Reference Standards'!$AB$196+E187*'Reference Standards'!$AB$197+'Reference Standards'!$AB$198))),2),  IF('Quantification Tool'!$B$7="68b", ROUND(IF(E187&gt;=1.1,0,IF(E187&lt;=0.17,1,IF(E187&lt;=0.22,E187*'Reference Standards'!$AE$197+'Reference Standards'!$AE$198,E187^2*'Reference Standards'!$AC$196+E187*'Reference Standards'!$AC$197+'Reference Standards'!$AC$198))),2),IF('Quantification Tool'!$B$8&lt;=2.5,   IF('Quantification Tool'!$B$7="69de",ROUND(IF(E187&gt;=0.22,0,IF(E187&lt;=0.01,1,E187^2*'Reference Standards'!$AB$90+E187*'Reference Standards'!$AB$91+'Reference Standards'!$AB$92)),2),   IF('Quantification Tool'!$B$7="68c",ROUND(IF(E187&gt;=0.87,0,IF(E187&lt;=0.01,1,E187^2*'Reference Standards'!$AC$90+E187*'Reference Standards'!$AC$91+'Reference Standards'!$AC$92)),2),   IF('Quantification Tool'!$B$7="68a",ROUND(IF(E187&gt;=0.81,0,IF(E187&lt;=0.01,1,E187^2*'Reference Standards'!$AD$90+E187*'Reference Standards'!$AD$91+'Reference Standards'!$AD$92)),2),   IF('Quantification Tool'!$B$7="65abei",ROUND(IF(E187&gt;=0.67,0,IF(E187&lt;=0.01,1,IF(E187&lt;=0.18,E187*'Reference Standards'!$AG$91+'Reference Standards'!$AG$92,E187*'Reference Standards'!$AE$91+'Reference Standards'!$AE$92))),2),   IF('Quantification Tool'!$B$7="65j",ROUND(IF(E187&gt;=0.32,0,IF(E187&lt;=0.01,1,IF(E187&lt;=0.25,E187*'Reference Standards'!$AH$91+'Reference Standards'!$AH$92,E187*'Reference Standards'!$AF$91+'Reference Standards'!$AF$92))),2),   IF('Quantification Tool'!$B$7="71f",ROUND(IF(E187&gt;=3,0,IF(E187&lt;=0,1,IF(E187&lt;=0.01,0.7,E187^2*'Reference Standards'!$AB$126+E187*'Reference Standards'!$AB$127+'Reference Standards'!$AB$128))),2),   IF('Quantification Tool'!$B$7="74a",ROUND(IF(E187&gt;=0.14,0,IF(E187&lt;=0.01,1,IF(E187&lt;=0.02,0.7,E187^2*'Reference Standards'!$AC$126+E187*'Reference Standards'!$AC$127+'Reference Standards'!$AC$128))),2),   IF(OR('Quantification Tool'!$B$7="67fhi",'Quantification Tool'!$B$7="67g"),ROUND(IF(E187&gt;=1.9,0,IF(E187&lt;=0.01,1,IF(E187&lt;=0.05,E187*'Reference Standards'!$AF$127+'Reference Standards'!$AF$128,E187^2*'Reference Standards'!$AD$126+E187*'Reference Standards'!$AD$127+'Reference Standards'!$AD$128))),2),   IF('Quantification Tool'!$B$7="73a",ROUND(IF(E187&gt;=1.44,0,IF(E187&lt;=0.01,1,IF(E187&lt;=0.12,E187*'Reference Standards'!$AG$127+'Reference Standards'!$AG$128,E187^2*'Reference Standards'!$AE$126+E187*'Reference Standards'!$AE$127+'Reference Standards'!$AE$128))),2),   IF('Quantification Tool'!$B$7="66d",ROUND(IF(E187&gt;=0.46,0,IF(E187&lt;=0.02,1,IF(E187&lt;=0.08,E187*'Reference Standards'!$AF$163+'Reference Standards'!$AF$164,E187^2*'Reference Standards'!$AB$162+E187*'Reference Standards'!$AB$163+'Reference Standards'!$AB$164))),2),   IF(OR('Quantification Tool'!$B$7="71g",'Quantification Tool'!$B$7="71h",'Quantification Tool'!$B$7="71i"),ROUND(IF(E187&gt;=3,0,IF(E187&lt;=0.06,1,IF(E187&lt;=0.24,E187*'Reference Standards'!$AG$163+'Reference Standards'!$AG$164, E187^2*'Reference Standards'!$AC$162+E187*'Reference Standards'!$AC$163+'Reference Standards'!$AC$164))),2),   IF('Quantification Tool'!$B$7="74b",ROUND(IF(E187&gt;=1.3,0,IF(E187&lt;=0.29,1,IF(E187&lt;=0.48,E187*'Reference Standards'!$AH$163+'Reference Standards'!$AH$164,E187^2*'Reference Standards'!$AD$162+E187*'Reference Standards'!$AD$163+'Reference Standards'!$AD$164))),2),   IF('Quantification Tool'!$B$7="71e",ROUND(IF(E187&gt;=4.3,0,IF(E187&lt;=0.53,1,IF(E187&lt;=0.67,E187*'Reference Standards'!$AI$163+'Reference Standards'!$AI$164,E187^2*'Reference Standards'!$AE$162+E187*'Reference Standards'!$AE$163+'Reference Standards'!$AE$164))),2)       ))))))))))))),IF('Quantification Tool'!$B$8&gt;2.5,    IF('Quantification Tool'!$B$7="73a",ROUND(IF(E187&gt;=0.55,0,IF(E187&lt;=0,1,E187^2*'Reference Standards'!$AB$232+E187*'Reference Standards'!$AB$233+'Reference Standards'!$AB$234)),2),   IF('Quantification Tool'!$B$7="68a",ROUND(IF(E187&gt;=0.54,0,IF(E187&lt;=0,1, IF(E187&lt;=0.01,0.85, E187^2*'Reference Standards'!$AC$232+E187*'Reference Standards'!$AC$233+'Reference Standards'!$AC$234))),2),   IF('Quantification Tool'!$B$7="74a",ROUND(IF(E187&gt;=0.47,0,IF(E187&lt;=0.01,1, IF(E187&lt;=0.02,0.7, E187^2*'Reference Standards'!$AD$232+E187*'Reference Standards'!$AD$233+'Reference Standards'!$AD$234))),2),    IF('Quantification Tool'!$B$7="69de",ROUND(IF(E187&gt;=0.26,0,IF(E187&lt;=0.01,1, IF(E187&lt;=0.02,0.85, E187^2*'Reference Standards'!$AE$232+E187*'Reference Standards'!$AE$233+'Reference Standards'!$AE$234))),2),   IF('Quantification Tool'!$B$7="71f",ROUND(IF(E187&gt;=0.87,0,IF(E187&lt;=0.01,1,IF(E187&lt;=0.04,E187*'Reference Standards'!$AF$269+'Reference Standards'!$AF$270,E187^2*'Reference Standards'!$AB$268+E187*'Reference Standards'!$AB$269+'Reference Standards'!$AB$270))),2),  IF('Quantification Tool'!$B$7="65abei",ROUND(IF(E187&gt;=0.82,0,IF(E187&lt;=0.01,1,IF(E187&lt;=0.06,E187*'Reference Standards'!$AG$269+'Reference Standards'!$AG$270,E187^2*'Reference Standards'!$AC$268+E187*'Reference Standards'!$AC$269+'Reference Standards'!$AC$270))),2),  IF('Quantification Tool'!$B$7="65j",ROUND(IF(E187&gt;=0.33,0,IF(E187&lt;=0.03,1,IF(E187&lt;=0.09,E187*'Reference Standards'!$AH$269+'Reference Standards'!$AH$270,E187^2*'Reference Standards'!$AD$268+E187*'Reference Standards'!$AD$269+'Reference Standards'!$AD$270))),2),  IF('Quantification Tool'!$B$7="68c",ROUND(IF(E187&gt;=0.7,0,IF(E187&lt;=0.07,1,IF(E187&lt;=0.12,E187*'Reference Standards'!$AI$269+'Reference Standards'!$AI$270,E187^2*'Reference Standards'!$AE$268+E187*'Reference Standards'!$AE$269+'Reference Standards'!$AE$270))),2),   IF(OR('Quantification Tool'!$B$7="67fhi",'Quantification Tool'!$B$7="67g"),ROUND(IF(E187&gt;=1.8,0,IF(E187&lt;=0.08,1,IF(E187&lt;=0.2,E187*'Reference Standards'!$AF$306+'Reference Standards'!$AF$307,E187^2*'Reference Standards'!$AB$305+E187*'Reference Standards'!$AB$306+'Reference Standards'!$AB$307))),2),   IF('Quantification Tool'!$B$7="74b",ROUND(IF(E187&gt;=0.96,0,IF(E187&lt;=0.12,1,IF(E187&lt;=0.16,E187*'Reference Standards'!$AG$306+'Reference Standards'!$AG$307,E187^2*'Reference Standards'!$AC$305+E187*'Reference Standards'!$AC$306+'Reference Standards'!$AC$307))),2),   IF('Quantification Tool'!$B$7="66d",ROUND(IF(E187&gt;=0.75,0,IF(E187&lt;=0.13,1,IF(E187&lt;=0.2,E187*'Reference Standards'!$AH$306+'Reference Standards'!$AH$307,E187^2*'Reference Standards'!$AD$305+E187*'Reference Standards'!$AD$306+'Reference Standards'!$AD$307))),2),    IF(OR('Quantification Tool'!$B$7="71g",'Quantification Tool'!$B$7="71h",'Quantification Tool'!$B$7="71i"),ROUND(IF(E187&gt;=1.68,0,IF(E187&lt;=0.08,1,IF(E187&lt;=0.23,E187*'Reference Standards'!$AI$306+'Reference Standards'!$AI$307,E187^2*'Reference Standards'!$AE$305+E187*'Reference Standards'!$AE$306+'Reference Standards'!$AE$307))),2),   IF('Quantification Tool'!$B$7="71e",ROUND(IF(E187&gt;=5.3,0,IF(E187&lt;=0.94,1,IF(E187&lt;=1.4,E187*'Reference Standards'!$AF$310+'Reference Standards'!$AF$311,E187^2*'Reference Standards'!$AB$309+E187*'Reference Standards'!$AB$310+'Reference Standards'!$AB$311))),2))    )))))))))))))))))</f>
        <v/>
      </c>
      <c r="G187" s="104" t="str">
        <f>IFERROR(AVERAGE(F187),"")</f>
        <v/>
      </c>
      <c r="H187" s="556"/>
      <c r="I187" s="570"/>
      <c r="J187" s="523"/>
      <c r="K187" s="523"/>
      <c r="L187" s="21"/>
    </row>
    <row r="188" spans="1:13" ht="15.75" x14ac:dyDescent="0.25">
      <c r="A188" s="529"/>
      <c r="B188" s="293" t="s">
        <v>94</v>
      </c>
      <c r="C188" s="81" t="s">
        <v>325</v>
      </c>
      <c r="D188" s="81"/>
      <c r="E188" s="167"/>
      <c r="F188" s="82" t="str">
        <f>IF(E188="","",IF('Quantification Tool'!$B$8&gt;2.5,IF(OR('Quantification Tool'!$B$7="71h",'Quantification Tool'!$B$7="71i",'Quantification Tool'!$B$7="73a",'Quantification Tool'!$B$7="74a"),IF(E188&lt;=0.01,1,IF(OR('Quantification Tool'!$B$7="71h",'Quantification Tool'!$B$7="71i"),IF(E188&gt;0.37,0,ROUND(IF(E188&gt;0.03,'Reference Standards'!$AB$425*E188^2+'Reference Standards'!$AB$426*E188+'Reference Standards'!$AB$427,'Reference Standards'!$AF$426*E188+'Reference Standards'!$AF$427),2)),  IF('Quantification Tool'!$B$7="73a",IF(E188&gt;0.405,0,ROUND(IF(E188&gt;0.046,'Reference Standards'!$AC$425*E188^2+'Reference Standards'!$AC$426*E188+'Reference Standards'!$AC$427,'Reference Standards'!$AG$426*E188+'Reference Standards'!$AG$427),2)),IF('Quantification Tool'!$B$7="74a",IF(E188&gt;0.3,0,ROUND(IF(E188&gt;0.052,'Reference Standards'!$AD$425*E188^2+'Reference Standards'!$AD$426*E188+'Reference Standards'!$AD$427,'Reference Standards'!$AH$426*E188+'Reference Standards'!$AH$427),2)))))),   IF(E188&lt;=0.002,1,IF(OR('Quantification Tool'!$B$7="66d",'Quantification Tool'!$B$7="66e",'Quantification Tool'!$B$7="66g"),IF(E188&gt;0.053,0,ROUND(E188^2*'Reference Standards'!$AB$347+E188*'Reference Standards'!$AB$348+'Reference Standards'!$AB$349,2)), IF('Quantification Tool'!$B$7="68b",IF(E188&gt;0.05,0,ROUND(E188^2*'Reference Standards'!$AC$347+E188*'Reference Standards'!$AC$348+'Reference Standards'!$AC$349,2)),  IF(OR('Quantification Tool'!$B$7="68a",'Quantification Tool'!$B$7="68c"),IF(E188&gt;0.07,0,ROUND(E188^2*'Reference Standards'!$AD$347+E188*'Reference Standards'!$AD$348+'Reference Standards'!$AD$349,2)), IF(OR('Quantification Tool'!$B$7="71f",'Quantification Tool'!$B$7="71g"),IF(E188&gt;0.13,0,ROUND(IF(E188&gt;0.042,E188*'Reference Standards'!$AE$348+'Reference Standards'!$AE$349,E188*'Reference Standards'!$AF$348+'Reference Standards'!$AF$349),2)), IF('Quantification Tool'!$B$7="67fhi",IF(E188&gt;0.16,0,ROUND(E188^2*'Reference Standards'!$AG$347+E188*'Reference Standards'!$AG$348+'Reference Standards'!$AG$349,2)),  IF('Quantification Tool'!$B$7="65j",IF(E188&gt;0.035,0,ROUND(IF(E188&lt;=0.003,0.7,E188^2*'Reference Standards'!$AB$387+E188*'Reference Standards'!$AB$388+'Reference Standards'!$AB$389),2)),IF('Quantification Tool'!$B$7="69de",IF(E188&gt;0.037,0,ROUND(IF(E188&lt;=0.003,0.7,E188^2*'Reference Standards'!$AC$387+E188*'Reference Standards'!$AC$388+'Reference Standards'!$AC$389),2)),IF('Quantification Tool'!$B$7="71e",IF(E188&gt;0.23,0,ROUND(IF(E188&lt;=0.003,0.7,E188^2*'Reference Standards'!$AD$387+E188*'Reference Standards'!$AD$388+'Reference Standards'!$AD$389),2)),IF('Quantification Tool'!$B$7="66f",IF(E188&gt;0.06,0,ROUND(IF(E188&lt;=0.003,0.85,IF(E188&lt;=0.004,0.7,E188^2*'Reference Standards'!$AE$387+E188*'Reference Standards'!$AE$388+'Reference Standards'!$AE$389)),2)),IF('Quantification Tool'!$B$7="67g",IF(E188&gt;0.11,0,ROUND(IF(E188&lt;=0.01,E188*'Reference Standards'!$AH$388+'Reference Standards'!$AH$389, E188^2*'Reference Standards'!$AF$387+E188*'Reference Standards'!$AF$388+'Reference Standards'!$AF$389),2)),IF('Quantification Tool'!$B$7="74b",IF(E188&gt;0.49,0,ROUND(IF(E188&lt;=0.01,E188*'Reference Standards'!$AH$388+'Reference Standards'!$AH$389, E188^2*'Reference Standards'!$AG$387+E188*'Reference Standards'!$AG$388+'Reference Standards'!$AG$389),2)),IF('Quantification Tool'!$B$7="65abei",IF(E188&gt;0.199,0,ROUND(IF(E188&lt;=0.01,E188*'Reference Standards'!$AI$426+'Reference Standards'!$AI$427, E188^2*'Reference Standards'!$AE$425+E188*'Reference Standards'!$AE$426+'Reference Standards'!$AE$427),2))    )))))))))))))),      IF('Quantification Tool'!$B$8&lt;=2.5, IF(OR('Quantification Tool'!$B$7="66d",'Quantification Tool'!$B$7="66e",'Quantification Tool'!$B$7="66g"),IF(E188&gt;0.05,0,ROUND(IF(E188&lt;=0.002,1,IF(E188&lt;=0.005,E188*'Reference Standards'!$AF$464+'Reference Standards'!$AF$465, E188^2*'Reference Standards'!$AB$463+E188*'Reference Standards'!$AB$464+'Reference Standards'!$AB$465)),2)), IF('Quantification Tool'!$B$7="67fhi",IF(E188&gt;0.1,0,ROUND(IF(E188&lt;=0.002,1,IF(E188&lt;=0.006,E188*'Reference Standards'!$AG$464+'Reference Standards'!$AG$465, E188^2*'Reference Standards'!$AC$463+E188*'Reference Standards'!$AC$464+'Reference Standards'!$AC$465)),2)), IF('Quantification Tool'!$B$7="65abei",IF(E188&gt;0.13,0,ROUND(IF(E188&lt;=0.003,1,IF(E188&lt;=0.008,E188*'Reference Standards'!$AH$464+'Reference Standards'!$AH$465, E188^2*'Reference Standards'!$AD$463+E188*'Reference Standards'!$AD$464+'Reference Standards'!$AD$465)),2)), IF('Quantification Tool'!$B$7="68b",IF(E188&gt;0.043,0,ROUND(IF(E188&lt;=0.004,1, IF(E188&lt;=0.005,0.7, E188^2*'Reference Standards'!$AE$463+E188*'Reference Standards'!$AE$464+'Reference Standards'!$AE$465)),2)), IF('Quantification Tool'!$B$7="69de",IF(E188&gt;=0.034,0,ROUND(IF(E188&lt;=0.003,1, IF(E188&lt;=0.006,E188*'Reference Standards'!$AG$500+'Reference Standards'!$AG$501, E188*'Reference Standards'!$AB$500+'Reference Standards'!$AB$501)),2)), IF(OR('Quantification Tool'!$B$7="68a",'Quantification Tool'!$B$7="68c"),IF(E188&gt;0.202,0,ROUND(IF(E188&lt;=0.003,1, IF(E188&lt;=0.006,E188*'Reference Standards'!$AG$500+'Reference Standards'!$AG$501, IF(E188&gt;=0.04,E188*'Reference Standards'!$AC$500+'Reference Standards'!$AC$501,E188*'Reference Standards'!$AE$500+'Reference Standards'!$AE$501))),2)), IF(OR('Quantification Tool'!$B$7="71f",'Quantification Tool'!$B$7="71g"),IF(E188&gt;0.631,0,ROUND(IF(E188&lt;=0.003,1, IF(E188&lt;=0.006,E188*'Reference Standards'!$AG$500+'Reference Standards'!$AG$501, IF(E188&gt;=0.17,E188*'Reference Standards'!$AD$500+'Reference Standards'!$AD$501,E188*'Reference Standards'!$AF$500+'Reference Standards'!$AF$501))),2)),   IF('Quantification Tool'!$B$7="71e",IF(E188&gt;1.23,0,ROUND(IF(E188&lt;=0.004,1,IF(E188&lt;=0.006,E188*'Reference Standards'!$AF$538+'Reference Standards'!$AF$539, E188^2*'Reference Standards'!$AB$537+E188*'Reference Standards'!$AB$538+'Reference Standards'!$AB$539)),2)), IF('Quantification Tool'!$B$7="67g",IF(E188&gt;0.11,0,ROUND(IF(E188&lt;=0.006,1,IF(E188&lt;=0.011,E188*'Reference Standards'!$AG$538+'Reference Standards'!$AG$539, E188^2*'Reference Standards'!$AC$537+E188*'Reference Standards'!$AC$538+'Reference Standards'!$AC$539)),2)), IF('Quantification Tool'!$B$7="65j",IF(E188&gt;0.046,0,ROUND(IF(E188&lt;=0.007,1,IF(E188&lt;=0.012,E188*'Reference Standards'!$AH$538+'Reference Standards'!$AH$539, E188^2*'Reference Standards'!$AD$537+E188*'Reference Standards'!$AD$538+'Reference Standards'!$AD$539)),2)), IF('Quantification Tool'!$B$7="66f",IF(E188&gt;0.081,0,ROUND(IF(E188&lt;=0.008,1,IF(E188&lt;=0.011,E188*'Reference Standards'!$AI$538+'Reference Standards'!$AI$539, E188^2*'Reference Standards'!$AE$537+E188*'Reference Standards'!$AE$538+'Reference Standards'!$AE$539)),2)), IF(OR('Quantification Tool'!$B$7="71h",'Quantification Tool'!$B$7="71i"),IF(E188&gt;0.37,0,ROUND(IF(E188&lt;=0.013,1,IF(E188&lt;=0.032,E188*'Reference Standards'!$AH$576+'Reference Standards'!$AH$577, IF(E188&lt;=0.3,E188*'Reference Standards'!$AF$576+'Reference Standards'!$AF$577,E188*'Reference Standards'!$AB$576+'Reference Standards'!$AB$577))),2)), IF('Quantification Tool'!$B$7="73a",IF(E188&gt;0.448,0,ROUND(IF(E188&lt;=0.071,1,IF(E188&lt;=0.086,E188*'Reference Standards'!$AJ$576+'Reference Standards'!$AJ$577, IF(E188&lt;=0.165,E188*'Reference Standards'!$AG$576+'Reference Standards'!$AG$577,E188*'Reference Standards'!$AE$576+'Reference Standards'!$AE$577))),2)),  IF('Quantification Tool'!$B$7="74b",IF(E188&gt;0.43,0,ROUND(IF(E188&lt;=0.018,1,IF(E188&lt;=0.019,0.85, IF(E188&lt;=0.02,0.7, E188^2*'Reference Standards'!$AC$575+E188*'Reference Standards'!$AC$576+'Reference Standards'!$AC$577))),2)), IF('Quantification Tool'!$B$7="74a",IF(E188&gt;0.217,0,ROUND(IF(E188&lt;=0.02,1,IF(E188&lt;=0.033,E188*'Reference Standards'!$AI$576+'Reference Standards'!$AI$577, E188^2*'Reference Standards'!$AD$575+E188*'Reference Standards'!$AD$576+'Reference Standards'!$AD$577)),2))     ))))))))))))))))))</f>
        <v/>
      </c>
      <c r="G188" s="105" t="str">
        <f>IFERROR(AVERAGE(F188),"")</f>
        <v/>
      </c>
      <c r="H188" s="557"/>
      <c r="I188" s="571"/>
      <c r="J188" s="523"/>
      <c r="K188" s="523"/>
      <c r="L188" s="21"/>
    </row>
    <row r="189" spans="1:13" ht="15.75" x14ac:dyDescent="0.25">
      <c r="A189" s="538" t="s">
        <v>62</v>
      </c>
      <c r="B189" s="517" t="s">
        <v>432</v>
      </c>
      <c r="C189" s="154" t="s">
        <v>419</v>
      </c>
      <c r="D189" s="155"/>
      <c r="E189" s="209"/>
      <c r="F189" s="219" t="str">
        <f>IF(E189="","",IF(OR('Quantification Tool'!B$7="73a",'Quantification Tool'!B$7="73b"),IF(E189&lt;1,0,IF(E189&gt;=30,1,ROUND(IF(E189&lt;22,'Reference Standards'!$AL$16*E189+'Reference Standards'!$AL$17,'Reference Standards'!$AM$16*E189+'Reference Standards'!$AM$17),2))), IF(E189&lt;1,0, IF(E189&gt;=42,1, ROUND(IF(E189&lt;32,'Reference Standards'!$AN$16*E189+'Reference Standards'!$AN$17,'Reference Standards'!$AO$16*E189+'Reference Standards'!$AO$17),2)))))</f>
        <v/>
      </c>
      <c r="G189" s="558" t="str">
        <f>IFERROR(AVERAGE(F189:F192),"")</f>
        <v/>
      </c>
      <c r="H189" s="537" t="str">
        <f>IFERROR(ROUND(AVERAGE(G189:G194),2),"")</f>
        <v/>
      </c>
      <c r="I189" s="572" t="str">
        <f>IF(H189="","",IF(H189&gt;0.69,"Functioning",IF(H189&gt;0.29,"Functioning At Risk",IF(H189&gt;-1,"Not Functioning"))))</f>
        <v/>
      </c>
      <c r="J189" s="523"/>
      <c r="K189" s="523"/>
      <c r="L189" s="21"/>
    </row>
    <row r="190" spans="1:13" ht="15.75" x14ac:dyDescent="0.25">
      <c r="A190" s="539"/>
      <c r="B190" s="518"/>
      <c r="C190" s="217" t="s">
        <v>424</v>
      </c>
      <c r="D190" s="218"/>
      <c r="E190" s="208"/>
      <c r="F190" s="221" t="str">
        <f>IF(E190="","",IF(AND('Quantification Tool'!$B$7="74b",'Quantification Tool'!$B$8&lt;=2),IF(E190&lt;0,0,IF(E190&gt;15.6,0.69,ROUND('Reference Standards'!$AL$54*E190^2+'Reference Standards'!$AL$55*E190+'Reference Standards'!$AL$56,2))),IF(AND('Quantification Tool'!$B$7="65abei",'Quantification Tool'!$B$8&lt;=2),IF(E190&lt;0,0,IF(E190&gt;=20,0.69,ROUND('Reference Standards'!$AM$54*E190^2+'Reference Standards'!$AM$55*E190+'Reference Standards'!$AM$56,2))),IF(OR(AND('Quantification Tool'!$B$7="74a",'Quantification Tool'!$B$8&gt;2,'Quantification Tool'!$B$14="January - June"),AND('Quantification Tool'!$B$7="71i",'Quantification Tool'!$B$8&gt;2,'Quantification Tool'!$B$15="SQBANK")),IF(E190&lt;0,0,IF(E190&gt;24.7,0.69,ROUND('Reference Standards'!$AN$54*E190^2+'Reference Standards'!$AN$55*E190+'Reference Standards'!$AN$56,2))),IF(OR('Quantification Tool'!$B$7="74b",'Quantification Tool'!$B$7="65abei"),IF(E190&lt;0,0,IF(E190&gt;32.7,0.69,ROUND('Reference Standards'!$AO$54*E190^2+'Reference Standards'!$AO$55*E190+'Reference Standards'!$AO$56,2))),IF(AND('Quantification Tool'!$B$7="68b",'Quantification Tool'!$B$8&gt;2),IF(E190&lt;0,0,IF(E190&gt;41.2,0.69,ROUND('Reference Standards'!$AP$54*E190^2+'Reference Standards'!$AP$55*E190+'Reference Standards'!$AP$56,2))),IF(OR(AND('Quantification Tool'!$B$7="71i",'Quantification Tool'!$B$8&lt;=2),AND(OR('Quantification Tool'!$B$7="68c",'Quantification Tool'!$B$7="68d"),'Quantification Tool'!$B$14="January - June")),IF(E190&lt;0,0,IF(E190&gt;49.2,0.69,ROUND('Reference Standards'!$AL$94*E190^2+'Reference Standards'!$AL$95*E190+'Reference Standards'!$AL$96,2))),IF(OR(AND('Quantification Tool'!$B$7="68a",'Quantification Tool'!$B$14="January - June"),AND(OR('Quantification Tool'!$B$7="68c",'Quantification Tool'!$B$7="68d"),'Quantification Tool'!$B$14="July - December")),IF(E190&lt;0,0,IF(E190&gt;53.4,0.69,ROUND('Reference Standards'!$AM$94*E190^2+'Reference Standards'!$AM$95*E190+'Reference Standards'!$AM$96,2))),IF(OR(AND('Quantification Tool'!$B$7="71i",'Quantification Tool'!$B$8&gt;2,'Quantification Tool'!$B$15="SQKICK"),AND(OR('Quantification Tool'!$B$7="67fhi",'Quantification Tool'!$B$7="67g"),'Quantification Tool'!$B$8&lt;=2),'Quantification Tool'!$B$7="65j"),IF(E190&lt;0,0,IF(E190&gt;57.8,0.69,ROUND('Reference Standards'!$AN$94*E190^2+'Reference Standards'!$AN$95*E190+'Reference Standards'!$AN$96,2))),IF(OR(AND('Quantification Tool'!$B$7="74a",'Quantification Tool'!$B$8&gt;2,'Quantification Tool'!$B$14="July - December"),AND(OR('Quantification Tool'!$B$7="67fhi",'Quantification Tool'!$B$7="67g"),'Quantification Tool'!$B$8&gt;2),'Quantification Tool'!$B$7="69de"),IF(E190&lt;0,0,IF(E190&gt;62.5,0.69,ROUND('Reference Standards'!$AO$94*E190^2+'Reference Standards'!$AO$95*E190+'Reference Standards'!$AO$96,2))),  IF(OR('Quantification Tool'!$B$7="66d",'Quantification Tool'!$B$7="66e",'Quantification Tool'!$B$7="66ik",'Quantification Tool'!$B$7="71e",'Quantification Tool'!$B$7="71f",'Quantification Tool'!$B$7="71g",'Quantification Tool'!$B$7="71h"),IF(E190&lt;0,0,IF(E190&gt;66.5,0.69,ROUND('Reference Standards'!$AP$94*E190^2+'Reference Standards'!$AP$95*E190+'Reference Standards'!$AP$96,2))),IF(OR('Quantification Tool'!$B$7="66f",'Quantification Tool'!$B$7="66g",'Quantification Tool'!$B$7="66j",AND('Quantification Tool'!$B$7="68a",'Quantification Tool'!$B$14="July - December")), IF(E190&lt;0,0,IF(E190&gt;69,0.69,ROUND('Reference Standards'!$AQ$94*E190^2+'Reference Standards'!$AQ$95*E190+'Reference Standards'!$AQ$96,2))))   )))))))))))</f>
        <v/>
      </c>
      <c r="G190" s="558"/>
      <c r="H190" s="537"/>
      <c r="I190" s="572"/>
      <c r="J190" s="523"/>
      <c r="K190" s="523"/>
      <c r="L190" s="21"/>
    </row>
    <row r="191" spans="1:13" ht="15.75" x14ac:dyDescent="0.25">
      <c r="A191" s="539"/>
      <c r="B191" s="518"/>
      <c r="C191" s="217" t="s">
        <v>428</v>
      </c>
      <c r="D191" s="218"/>
      <c r="E191" s="208"/>
      <c r="F191" s="221" t="str">
        <f>IF(E191="","",IF(AND('Quantification Tool'!$B$7="74b",'Quantification Tool'!$B$8&lt;=2),IF(E191&lt;0,0,IF(E191&gt;8.1,0.69,ROUND('Reference Standards'!$AL$131*E191^2+'Reference Standards'!$AL$132*E191+'Reference Standards'!$AL$133,2))),IF(OR('Quantification Tool'!$B$7="73a",'Quantification Tool'!$B$7="73b"),IF(E191&lt;0,0,IF(E191&gt;=28,0.69,ROUND('Reference Standards'!$AM$131*E191^2+'Reference Standards'!$AM$132*E191+'Reference Standards'!$AM$133,2))),IF(AND('Quantification Tool'!$B$7="74a",'Quantification Tool'!$B$8&gt;2,'Quantification Tool'!$B$14="January - June"),IF(E191&lt;0,0,IF(E191&gt;=32.5,0.69,ROUND('Reference Standards'!$AN$131*E191^2+'Reference Standards'!$AN$132*E191+'Reference Standards'!$AN$133,2))),IF(AND('Quantification Tool'!$B$7="71i",'Quantification Tool'!$B$8&gt;2,'Quantification Tool'!$B$15="SQBANK"),IF(E191&lt;0,0,IF(E191&gt;=37,0.69,ROUND('Reference Standards'!$AO$131*E191^2+'Reference Standards'!$AO$132*E191+'Reference Standards'!$AO$133,2))),IF(OR(AND(OR('Quantification Tool'!$B$7="65abei",'Quantification Tool'!$B$7="74b"),'Quantification Tool'!$B$8&gt;2),AND('Quantification Tool'!$B$7="71i",'Quantification Tool'!$B$8&gt;2,'Quantification Tool'!$B$15="SQKICK")),IF(E191&lt;0,0,IF(E191&gt;42.6,0.69,ROUND('Reference Standards'!$AP$131*E191^2+'Reference Standards'!$AP$132*E191+'Reference Standards'!$AP$133,2))),     IF(OR(AND('Quantification Tool'!$B$7="65abei",'Quantification Tool'!$B$8&lt;=2),AND(OR('Quantification Tool'!$B$7="68c",'Quantification Tool'!$B$7="68d"),'Quantification Tool'!$B$14="July - December"),'Quantification Tool'!$B$7="71e"),IF(E191&lt;0,0,IF(E191&gt;=48,0.69,ROUND('Reference Standards'!$AL$171*E191^2+'Reference Standards'!$AL$172*E191+'Reference Standards'!$AL$173,2))),IF(OR('Quantification Tool'!$B$7="65j",'Quantification Tool'!$B$7="67fhi",'Quantification Tool'!$B$7="67g",AND('Quantification Tool'!$B$7="74a",'Quantification Tool'!$B$14="July - December",'Quantification Tool'!$B$8&gt;2),AND('Quantification Tool'!$B$7="71i",'Quantification Tool'!$B$8&lt;=2)),IF(E191&lt;0,0,IF(E191&gt;=53,0.69,ROUND('Reference Standards'!$AM$171*E191^2+'Reference Standards'!$AM$172*E191+'Reference Standards'!$AM$173,2))),IF(OR(AND(OR('Quantification Tool'!$B$7="68b",'Quantification Tool'!$B$7="71f",'Quantification Tool'!$B$7="71g",'Quantification Tool'!$B$7="71h"),'Quantification Tool'!$B$8&gt;2),'Quantification Tool'!$B$7="68a"),IF(E191&lt;0,0,IF(E191&gt;=57,0.69,ROUND('Reference Standards'!$AN$171*E191^2+'Reference Standards'!$AN$172*E191+'Reference Standards'!$AN$173,2))),IF(OR('Quantification Tool'!$B$7="66f",'Quantification Tool'!$B$7="66g",'Quantification Tool'!$B$7="66j",AND(OR('Quantification Tool'!$B$7="71f",'Quantification Tool'!$B$7="71g",'Quantification Tool'!$B$7="71h"),'Quantification Tool'!$B$8&lt;=2)),IF(E191&lt;0,0,IF(E191&gt;=60,0.69,ROUND('Reference Standards'!$AO$171*E191^2+'Reference Standards'!$AO$172*E191+'Reference Standards'!$AO$173,2))),  IF(OR('Quantification Tool'!$B$7="66d",'Quantification Tool'!$B$7="66e",'Quantification Tool'!$B$7="66ik", AND(OR('Quantification Tool'!$B$7="68c",'Quantification Tool'!$B$7="68d"),'Quantification Tool'!$B$14="January - June"),AND('Quantification Tool'!$B$7="69de",'Quantification Tool'!$B$14="July - December")),IF(E191&lt;0,0,IF(E191&gt;=67.5,0.69,ROUND('Reference Standards'!$AP$171*E191^2+'Reference Standards'!$AP$172*E191+'Reference Standards'!$AP$173,2))),IF(AND('Quantification Tool'!$B$7="69de",'Quantification Tool'!$B$14="January - June"), IF(E191&lt;0,0,IF(E191&gt;=72,0.69,ROUND('Reference Standards'!$AQ$171*E191^2+'Reference Standards'!$AQ$172*E191+'Reference Standards'!$AQ$173,2))))   )))))))))))</f>
        <v/>
      </c>
      <c r="G191" s="558"/>
      <c r="H191" s="537"/>
      <c r="I191" s="572"/>
      <c r="J191" s="523"/>
      <c r="K191" s="523"/>
      <c r="L191" s="21"/>
    </row>
    <row r="192" spans="1:13" ht="15.75" x14ac:dyDescent="0.25">
      <c r="A192" s="539"/>
      <c r="B192" s="519"/>
      <c r="C192" s="156" t="s">
        <v>425</v>
      </c>
      <c r="D192" s="88"/>
      <c r="E192" s="210"/>
      <c r="F192" s="221" t="str">
        <f>IF(E192="","",IF(OR('Quantification Tool'!$B$7="67fhi",'Quantification Tool'!$B$7="67g",'Quantification Tool'!$B$7="71e",'Quantification Tool'!$B$7="73a",'Quantification Tool'!$B$7="73b",AND(OR('Quantification Tool'!$B$7="71f",'Quantification Tool'!$B$7="71g",'Quantification Tool'!$B$7="71h"),'Quantification Tool'!$B$8&gt;2)),IF(E192&gt;100,0,IF(E192&lt;15,0.69,ROUND('Reference Standards'!$AL$208*E192^2+'Reference Standards'!$AL$209*E192+'Reference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),IF(E192&gt;100,0,IF(E192&lt;19,0.69,ROUND('Reference Standards'!$AM$208*E192^2+'Reference Standards'!$AM$209*E192+'Reference Standards'!$AM$210,2))),    IF(OR(AND('Quantification Tool'!$B$7="69de",'Quantification Tool'!$B$14="January - June"),AND('Quantification Tool'!$B$7="71i",'Quantification Tool'!$B$8&gt;2,'Quantification Tool'!$B$15="SQKICK" )),IF(E192&gt;100,0,IF(E192&lt;22,0.69,ROUND('Reference Standards'!$AN$208*E192^2+'Reference Standards'!$AN$209*E192+'Reference Standards'!$AN$210,2))),    IF(OR('Quantification Tool'!$B$7="65j",AND('Quantification Tool'!$B$7="68b",'Quantification Tool'!$B$8&gt;2)),IF(E192&gt;100,0,IF(E192&lt;24,0.69,ROUND('Reference Standards'!$AO$208*E192^2+'Reference Standards'!$AO$209*E192+'Reference Standards'!$AO$210,2))),    IF(AND(OR('Quantification Tool'!$B$7="65abei",'Quantification Tool'!$B$7="71f",'Quantification Tool'!$B$7="71g",'Quantification Tool'!$B$7="71h"),'Quantification Tool'!$B$8&lt;=2),IF(E192&gt;95,0,IF(E192&lt;33,0.69,ROUND('Reference Standards'!$AL$246*E192^2+'Reference Standards'!$AL$247*E192+'Reference Standards'!$AL$248,2))),   IF(AND(OR('Quantification Tool'!$B$7="65abei",'Quantification Tool'!$B$7="74b"),'Quantification Tool'!$B$8&gt;2),IF(E192&gt;97,0,IF(E192&lt;36,0.69,ROUND('Reference Standards'!$AM$246*E192^2+'Reference Standards'!$AM$247*E192+'Reference Standards'!$AM$248,2))),  IF(AND('Quantification Tool'!$B$7="74a",'Quantification Tool'!$B$14="January - June",'Quantification Tool'!$B$8&gt;2),IF(E192&gt;93,0,IF(E192&lt;52,0.69,ROUND('Reference Standards'!$AN$246*E192^2+'Reference Standards'!$AN$247*E192+'Reference Standards'!$AN$248,2))),   IF(AND('Quantification Tool'!$B$7="74b",'Quantification Tool'!$B$8&lt;=2),IF(E192&gt;97,0,IF(E192&lt;62,0.69,ROUND('Reference Standards'!$AO$246*E192^2+'Reference Standards'!$AO$247*E192+'Reference Standards'!$AO$248,2)))  )))))))))</f>
        <v/>
      </c>
      <c r="G192" s="558"/>
      <c r="H192" s="537"/>
      <c r="I192" s="572"/>
      <c r="J192" s="523"/>
      <c r="K192" s="523"/>
      <c r="L192" s="21"/>
    </row>
    <row r="193" spans="1:12" ht="15.75" x14ac:dyDescent="0.25">
      <c r="A193" s="539"/>
      <c r="B193" s="530" t="s">
        <v>86</v>
      </c>
      <c r="C193" s="154" t="s">
        <v>255</v>
      </c>
      <c r="D193" s="155"/>
      <c r="E193" s="209"/>
      <c r="F193" s="219" t="str">
        <f>IF(E193="","",IF(E193=1,0.15,IF(E193=3,0.5,IF(E193=5,0.85,0))))</f>
        <v/>
      </c>
      <c r="G193" s="531" t="str">
        <f>IFERROR(AVERAGE(F193:F194),"")</f>
        <v/>
      </c>
      <c r="H193" s="537"/>
      <c r="I193" s="572"/>
      <c r="J193" s="523"/>
      <c r="K193" s="523"/>
      <c r="L193" s="21"/>
    </row>
    <row r="194" spans="1:12" ht="15.75" x14ac:dyDescent="0.25">
      <c r="A194" s="540"/>
      <c r="B194" s="530"/>
      <c r="C194" s="156" t="s">
        <v>420</v>
      </c>
      <c r="D194" s="88"/>
      <c r="E194" s="210"/>
      <c r="F194" s="220" t="str">
        <f>IF(E194="","",IF(E194=1,0.15,IF(E194=3,0.5,IF(E194=5,0.85,0))))</f>
        <v/>
      </c>
      <c r="G194" s="532"/>
      <c r="H194" s="537"/>
      <c r="I194" s="572"/>
      <c r="J194" s="523"/>
      <c r="K194" s="523"/>
      <c r="L194" s="21"/>
    </row>
    <row r="195" spans="1:12" ht="13.7" customHeight="1" x14ac:dyDescent="0.25">
      <c r="L195" s="21"/>
    </row>
    <row r="196" spans="1:12" ht="21" x14ac:dyDescent="0.35">
      <c r="A196" s="188" t="s">
        <v>173</v>
      </c>
      <c r="B196" s="312"/>
      <c r="C196" s="315" t="s">
        <v>395</v>
      </c>
      <c r="D196" s="312"/>
      <c r="E196" s="313"/>
      <c r="F196" s="314"/>
      <c r="G196" s="450" t="s">
        <v>18</v>
      </c>
      <c r="H196" s="451"/>
      <c r="I196" s="451"/>
      <c r="J196" s="451"/>
      <c r="K196" s="452"/>
      <c r="L196" s="21"/>
    </row>
    <row r="197" spans="1:12" ht="15.75" x14ac:dyDescent="0.25">
      <c r="A197" s="176" t="s">
        <v>1</v>
      </c>
      <c r="B197" s="176" t="s">
        <v>2</v>
      </c>
      <c r="C197" s="498" t="s">
        <v>3</v>
      </c>
      <c r="D197" s="573"/>
      <c r="E197" s="176" t="s">
        <v>15</v>
      </c>
      <c r="F197" s="176" t="s">
        <v>16</v>
      </c>
      <c r="G197" s="176" t="s">
        <v>19</v>
      </c>
      <c r="H197" s="176" t="s">
        <v>20</v>
      </c>
      <c r="I197" s="176" t="s">
        <v>20</v>
      </c>
      <c r="J197" s="176" t="s">
        <v>21</v>
      </c>
      <c r="K197" s="60" t="s">
        <v>21</v>
      </c>
    </row>
    <row r="198" spans="1:12" ht="15.75" x14ac:dyDescent="0.25">
      <c r="A198" s="453" t="s">
        <v>68</v>
      </c>
      <c r="B198" s="294" t="s">
        <v>99</v>
      </c>
      <c r="C198" s="62" t="s">
        <v>421</v>
      </c>
      <c r="D198" s="62"/>
      <c r="E198" s="202"/>
      <c r="F198" s="173" t="str">
        <f>IF(E198="","",IF(E198&gt;78,0,IF(E198&lt;30,1,ROUND('Reference Standards'!C$14*E198^2+'Reference Standards'!C$15*E198+'Reference Standards'!C$16,2))))</f>
        <v/>
      </c>
      <c r="G198" s="101" t="str">
        <f>IFERROR(AVERAGE(F198),"")</f>
        <v/>
      </c>
      <c r="H198" s="460" t="str">
        <f>IFERROR(ROUND(AVERAGE(G198:G202),2),"")</f>
        <v/>
      </c>
      <c r="I198" s="572" t="str">
        <f>IF(H198="","",IF(H198&gt;0.69,"Functioning",IF(H198&gt;0.29,"Functioning At Risk",IF(H198&gt;-1,"Not Functioning"))))</f>
        <v/>
      </c>
      <c r="J198" s="523" t="str">
        <f>IF(AND(H198="",H203="",H205="",H224="",H228=""),"",ROUND((IF(H198="",0,H198)*0.2)+(IF(H203="",0,H203)*0.2)+(IF(H205="",0,H205)*0.2)+(IF(H224="",0,H224)*0.2)+(IF(H228="",0,H228)*0.2),2))</f>
        <v/>
      </c>
      <c r="K198" s="523" t="str">
        <f>IF(J198="","",IF(J198&lt;0.3, "Not Functioning",IF(OR(H198&lt;0.7,H203&lt;0.7,H205&lt;0.7,H224&lt;0.7,H228&lt;0.7),"Functioning At Risk",IF(J198&lt;0.7,"Functioning At Risk","Functioning"))))</f>
        <v/>
      </c>
    </row>
    <row r="199" spans="1:12" ht="15.75" x14ac:dyDescent="0.25">
      <c r="A199" s="454"/>
      <c r="B199" s="541" t="s">
        <v>154</v>
      </c>
      <c r="C199" s="170" t="s">
        <v>202</v>
      </c>
      <c r="D199" s="169"/>
      <c r="E199" s="167"/>
      <c r="F199" s="173" t="str">
        <f>IF(E199="","",IF(E199&gt;=1,1,IF(E199&lt;=0,0,ROUND(E199,2))))</f>
        <v/>
      </c>
      <c r="G199" s="544" t="str">
        <f>IFERROR(AVERAGE(F199:F202),"")</f>
        <v/>
      </c>
      <c r="H199" s="461"/>
      <c r="I199" s="572"/>
      <c r="J199" s="523"/>
      <c r="K199" s="523"/>
    </row>
    <row r="200" spans="1:12" ht="15.75" x14ac:dyDescent="0.25">
      <c r="A200" s="454"/>
      <c r="B200" s="542"/>
      <c r="C200" s="171" t="s">
        <v>155</v>
      </c>
      <c r="D200" s="62"/>
      <c r="E200" s="202"/>
      <c r="F200" s="63" t="str">
        <f>IF(E200="","",IF(E200&gt;3,0,IF(E200=0,1,ROUND('Reference Standards'!C$49*E200+'Reference Standards'!C$50,2))))</f>
        <v/>
      </c>
      <c r="G200" s="545"/>
      <c r="H200" s="461"/>
      <c r="I200" s="572"/>
      <c r="J200" s="523"/>
      <c r="K200" s="523"/>
    </row>
    <row r="201" spans="1:12" ht="15.75" x14ac:dyDescent="0.25">
      <c r="A201" s="454"/>
      <c r="B201" s="542"/>
      <c r="C201" s="171" t="s">
        <v>429</v>
      </c>
      <c r="D201" s="62"/>
      <c r="E201" s="202"/>
      <c r="F201" s="63" t="str">
        <f>IF(E201="","",IF(E201&gt;=30,1,ROUND(E201^2*'Reference Standards'!$C$82+E201*'Reference Standards'!$C$83+'Reference Standards'!$C$84,2)))</f>
        <v/>
      </c>
      <c r="G201" s="545"/>
      <c r="H201" s="461"/>
      <c r="I201" s="572"/>
      <c r="J201" s="523"/>
      <c r="K201" s="523"/>
    </row>
    <row r="202" spans="1:12" ht="15.75" x14ac:dyDescent="0.25">
      <c r="A202" s="454"/>
      <c r="B202" s="543"/>
      <c r="C202" s="172" t="s">
        <v>391</v>
      </c>
      <c r="D202" s="64"/>
      <c r="E202" s="203"/>
      <c r="F202" s="168" t="str">
        <f>IF(E202="","",IF('Quantification Tool'!B$16="Sandy",IF(E202&gt;1.94,0,IF(E202&lt;1.45,1,ROUND(E202*'Reference Standards'!$C$118+'Reference Standards'!$C$119,2))),IF('Quantification Tool'!B$16="Silty",IF(E202&gt;1.83,0,IF(E202&lt;1.21,1,ROUND(E202*'Reference Standards'!$D$118+'Reference Standards'!$D$119,2))),IF('Quantification Tool'!B$16="Clayey",IF(E202&gt;1.74,0,IF(E202&lt;0.82,1,ROUND(E202*'Reference Standards'!$E$118+'Reference Standards'!$E$119,2)))))))</f>
        <v/>
      </c>
      <c r="G202" s="546"/>
      <c r="H202" s="461"/>
      <c r="I202" s="572"/>
      <c r="J202" s="523"/>
      <c r="K202" s="523"/>
    </row>
    <row r="203" spans="1:12" ht="15.75" x14ac:dyDescent="0.25">
      <c r="A203" s="547" t="s">
        <v>6</v>
      </c>
      <c r="B203" s="547" t="s">
        <v>7</v>
      </c>
      <c r="C203" s="66" t="s">
        <v>8</v>
      </c>
      <c r="D203" s="66"/>
      <c r="E203" s="202"/>
      <c r="F203" s="67" t="str">
        <f>IF(E203="","",ROUND(IF(E203&gt;1.6,0,IF(E203&lt;=1,1,E203^2*'Reference Standards'!K$14+E203*'Reference Standards'!K$15+'Reference Standards'!K$16)),2))</f>
        <v/>
      </c>
      <c r="G203" s="504" t="str">
        <f>IFERROR(AVERAGE(F203:F204),"")</f>
        <v/>
      </c>
      <c r="H203" s="504" t="str">
        <f>IFERROR(ROUND(AVERAGE(G203),2),"")</f>
        <v/>
      </c>
      <c r="I203" s="574" t="str">
        <f>IF(H203="","",IF(H203&gt;0.69,"Functioning",IF(H203&gt;0.29,"Functioning At Risk",IF(H203&gt;-1,"Not Functioning"))))</f>
        <v/>
      </c>
      <c r="J203" s="523"/>
      <c r="K203" s="523"/>
    </row>
    <row r="204" spans="1:12" ht="15.75" x14ac:dyDescent="0.25">
      <c r="A204" s="549"/>
      <c r="B204" s="548"/>
      <c r="C204" s="66" t="s">
        <v>9</v>
      </c>
      <c r="D204" s="66"/>
      <c r="E204" s="203"/>
      <c r="F204" s="67" t="str">
        <f>IF(E204="","",(IF(OR('Quantification Tool'!B$6="A",'Quantification Tool'!B$6="B",'Quantification Tool'!$B$6="Bc"),IF(E204&lt;1.2,0,IF(E204&gt;=2.2,1,ROUND(IF(E204&lt;1.4,E204*'Reference Standards'!$K$84+'Reference Standards'!$K$85,E204*'Reference Standards'!$L$84+'Reference Standards'!$L$85),2))),IF(OR('Quantification Tool'!B$6="C",'Quantification Tool'!B$6="E"),IF(E204&lt;2,0,IF(E204&gt;=5,1,ROUND(IF(E204&lt;2.4,E204*'Reference Standards'!$L$49+'Reference Standards'!$L$50,E204*'Reference Standards'!$K$49+'Reference Standards'!$K$50),2)))))))</f>
        <v/>
      </c>
      <c r="G204" s="533"/>
      <c r="H204" s="505"/>
      <c r="I204" s="575"/>
      <c r="J204" s="523"/>
      <c r="K204" s="523"/>
    </row>
    <row r="205" spans="1:12" ht="15.75" x14ac:dyDescent="0.25">
      <c r="A205" s="464" t="s">
        <v>27</v>
      </c>
      <c r="B205" s="553" t="s">
        <v>28</v>
      </c>
      <c r="C205" s="74" t="s">
        <v>422</v>
      </c>
      <c r="D205" s="308"/>
      <c r="E205" s="75"/>
      <c r="F205" s="310" t="str">
        <f>IF(E205="","",IF(E205&gt;700,1,IF(E205&lt;300,ROUND('Reference Standards'!$S$14*(E205^2)+'Reference Standards'!$S$15*E205+'Reference Standards'!$S$16,2),ROUND('Reference Standards'!$T$15*E205+'Reference Standards'!$T$16,2))))</f>
        <v/>
      </c>
      <c r="G205" s="506" t="str">
        <f>IFERROR(AVERAGE(F205:F206),"")</f>
        <v/>
      </c>
      <c r="H205" s="534" t="str">
        <f>IFERROR(ROUND(AVERAGE(G205:G223),2),"")</f>
        <v/>
      </c>
      <c r="I205" s="523" t="str">
        <f>IF(H205="","",IF(H205&gt;0.69,"Functioning",IF(H205&gt;0.29,"Functioning At Risk",IF(H205&gt;-1,"Not Functioning"))))</f>
        <v/>
      </c>
      <c r="J205" s="523"/>
      <c r="K205" s="523"/>
    </row>
    <row r="206" spans="1:12" ht="15.75" x14ac:dyDescent="0.25">
      <c r="A206" s="465"/>
      <c r="B206" s="554"/>
      <c r="C206" s="77" t="s">
        <v>394</v>
      </c>
      <c r="D206" s="309"/>
      <c r="E206" s="65"/>
      <c r="F206" s="311" t="str">
        <f>IF(E206="","",IF(E206&gt;=30,1,IF(E206&lt;16,ROUND('Reference Standards'!$S$47*(E206^2)+'Reference Standards'!$S$48*E206+'Reference Standards'!$S$49,2),ROUND('Reference Standards'!$T$48*E206+'Reference Standards'!$T$49,2))))</f>
        <v/>
      </c>
      <c r="G206" s="508"/>
      <c r="H206" s="534"/>
      <c r="I206" s="523"/>
      <c r="J206" s="523"/>
      <c r="K206" s="523"/>
    </row>
    <row r="207" spans="1:12" ht="15.75" x14ac:dyDescent="0.25">
      <c r="A207" s="465"/>
      <c r="B207" s="465" t="s">
        <v>51</v>
      </c>
      <c r="C207" s="71" t="s">
        <v>92</v>
      </c>
      <c r="D207" s="71"/>
      <c r="E207" s="167"/>
      <c r="F207" s="72" t="str">
        <f>IF(E207="","",ROUND(IF(E207&gt;0.7,0,IF(E207&lt;=0.1,1,E207^3*'Reference Standards'!S$81+E207^2*'Reference Standards'!S$82+E207*'Reference Standards'!S$83+'Reference Standards'!S$84)),2))</f>
        <v/>
      </c>
      <c r="G207" s="551" t="str">
        <f>IFERROR(IF(E207="",AVERAGE(F208:F209),IF(E208="",F207,MAX(F207,AVERAGE(F208:F209)))),"")</f>
        <v/>
      </c>
      <c r="H207" s="535"/>
      <c r="I207" s="523"/>
      <c r="J207" s="523"/>
      <c r="K207" s="523"/>
    </row>
    <row r="208" spans="1:12" ht="15.75" x14ac:dyDescent="0.25">
      <c r="A208" s="465"/>
      <c r="B208" s="465"/>
      <c r="C208" s="71" t="s">
        <v>52</v>
      </c>
      <c r="D208" s="71"/>
      <c r="E208" s="202"/>
      <c r="F208" s="72" t="str">
        <f>IF(E208="","",IF(OR(E208="Ex/Ex",E208="Ex/VH"),0, IF(OR(E208="Ex/H",E208="VH/Ex",E208="VH/VH", E208="H/Ex",E208="H/VH",E208="M/Ex"),0.1,IF(OR(E208="Ex/M",E208="VH/H",E208="H/H", E208="M/VH"),0.2, IF(OR(E208="Ex/L",E208="VH/M",E208="H/M", E208="M/H",E208="L/Ex"),0.3, IF(OR(E208="Ex/VL",E208="VH/L",E208="H/L"),0.4, IF(OR(E208="VH/VL",E208="H/VL",E208="M/M", E208="L/VH"),0.5, IF(OR(E208="M/L",E208="L/H"),0.6, IF(OR(E208="M/VL",E208="L/M"),0.7, IF(OR(E208="L/L",E208="L/VL"),1))))))))))</f>
        <v/>
      </c>
      <c r="G208" s="551"/>
      <c r="H208" s="535"/>
      <c r="I208" s="523"/>
      <c r="J208" s="523"/>
      <c r="K208" s="523"/>
    </row>
    <row r="209" spans="1:13" ht="15.75" x14ac:dyDescent="0.25">
      <c r="A209" s="465"/>
      <c r="B209" s="466"/>
      <c r="C209" s="73" t="s">
        <v>102</v>
      </c>
      <c r="D209" s="73"/>
      <c r="E209" s="203"/>
      <c r="F209" s="80" t="str">
        <f>IF(E209="","",ROUND(IF(E209&gt;40,0,IF(E209&lt;5,1,E209^3*'Reference Standards'!S$116+E209^2*'Reference Standards'!S$117+E209*'Reference Standards'!S$118+'Reference Standards'!S$119)),2))</f>
        <v/>
      </c>
      <c r="G209" s="551"/>
      <c r="H209" s="535"/>
      <c r="I209" s="523"/>
      <c r="J209" s="523"/>
      <c r="K209" s="523"/>
    </row>
    <row r="210" spans="1:13" ht="15.75" x14ac:dyDescent="0.25">
      <c r="A210" s="465"/>
      <c r="B210" s="465" t="s">
        <v>53</v>
      </c>
      <c r="C210" s="74" t="s">
        <v>120</v>
      </c>
      <c r="D210" s="78"/>
      <c r="E210" s="167"/>
      <c r="F210" s="90" t="str">
        <f>IF(E210="","",ROUND(IF(E210&gt;90,1,E210^2*'Reference Standards'!S$151+E210*'Reference Standards'!S$152+'Reference Standards'!S$153),2))</f>
        <v/>
      </c>
      <c r="G210" s="550" t="str">
        <f>IFERROR(ROUND(AVERAGE(F210:F217),2),"")</f>
        <v/>
      </c>
      <c r="H210" s="535"/>
      <c r="I210" s="523"/>
      <c r="J210" s="523"/>
      <c r="K210" s="523"/>
    </row>
    <row r="211" spans="1:13" ht="15.75" x14ac:dyDescent="0.25">
      <c r="A211" s="465"/>
      <c r="B211" s="465"/>
      <c r="C211" s="76" t="s">
        <v>121</v>
      </c>
      <c r="D211" s="71"/>
      <c r="E211" s="202"/>
      <c r="F211" s="72" t="str">
        <f>IF(E211="","",ROUND(IF(E211&gt;90,1,E211^2*'Reference Standards'!S$151+E211*'Reference Standards'!S$152+'Reference Standards'!S$153),2))</f>
        <v/>
      </c>
      <c r="G211" s="551"/>
      <c r="H211" s="535"/>
      <c r="I211" s="523"/>
      <c r="J211" s="523"/>
      <c r="K211" s="523"/>
    </row>
    <row r="212" spans="1:13" ht="15.75" x14ac:dyDescent="0.25">
      <c r="A212" s="465"/>
      <c r="B212" s="465"/>
      <c r="C212" s="76" t="s">
        <v>430</v>
      </c>
      <c r="D212" s="71"/>
      <c r="E212" s="202"/>
      <c r="F212" s="72" t="str">
        <f>IF(E212="","",ROUND(IF(OR('Quantification Tool'!B$6="A",'Quantification Tool'!B$6="B",'Quantification Tool'!B$6="Bc"),IF(E212&gt;=50,1, IF(E212&lt;30, E212*'Reference Standards'!#REF!+'Reference Standards'!#REF!, E212*'Reference Standards'!#REF!+'Reference Standards'!#REF!)), IF(E212&gt;=150,1,IF(E212&lt;48, E212^2*'Reference Standards'!S$220+E212*'Reference Standards'!S$221+'Reference Standards'!S$222, E212*'Reference Standards'!T$220+'Reference Standards'!T$221))),2))</f>
        <v/>
      </c>
      <c r="G212" s="551"/>
      <c r="H212" s="535"/>
      <c r="I212" s="523"/>
      <c r="J212" s="523"/>
      <c r="K212" s="523"/>
    </row>
    <row r="213" spans="1:13" ht="15.75" x14ac:dyDescent="0.25">
      <c r="A213" s="465"/>
      <c r="B213" s="465"/>
      <c r="C213" s="76" t="s">
        <v>431</v>
      </c>
      <c r="D213" s="71"/>
      <c r="E213" s="202"/>
      <c r="F213" s="72" t="str">
        <f>IF(E213="","",ROUND(IF(OR('Quantification Tool'!B$6="A",'Quantification Tool'!B$6="B",'Quantification Tool'!B$6="Bc"),IF(E213&gt;=50,1, IF(E213&lt;30, E213*'Reference Standards'!#REF!+'Reference Standards'!#REF!, E213*'Reference Standards'!#REF!+'Reference Standards'!#REF!)), IF(E213&gt;=150,1,IF(E213&lt;45, E213^2*'Reference Standards'!S$220+E213*'Reference Standards'!S$221+'Reference Standards'!S$222, E213*'Reference Standards'!T$220+'Reference Standards'!T$221))),2))</f>
        <v/>
      </c>
      <c r="G213" s="551"/>
      <c r="H213" s="535"/>
      <c r="I213" s="523"/>
      <c r="J213" s="523"/>
      <c r="K213" s="523"/>
    </row>
    <row r="214" spans="1:13" ht="15.75" x14ac:dyDescent="0.25">
      <c r="A214" s="465"/>
      <c r="B214" s="465"/>
      <c r="C214" s="71" t="s">
        <v>128</v>
      </c>
      <c r="D214" s="71"/>
      <c r="E214" s="202"/>
      <c r="F214" s="72" t="str">
        <f>IF(E214="","",ROUND(IF(E214&gt;100,1,E214^2*'Reference Standards'!S$185+E214*'Reference Standards'!S$186+'Reference Standards'!S$187),2))</f>
        <v/>
      </c>
      <c r="G214" s="551"/>
      <c r="H214" s="535"/>
      <c r="I214" s="523"/>
      <c r="J214" s="523"/>
      <c r="K214" s="523"/>
    </row>
    <row r="215" spans="1:13" ht="15.75" x14ac:dyDescent="0.25">
      <c r="A215" s="465"/>
      <c r="B215" s="465"/>
      <c r="C215" s="71" t="s">
        <v>129</v>
      </c>
      <c r="D215" s="71"/>
      <c r="E215" s="202"/>
      <c r="F215" s="72" t="str">
        <f>IF(E215="","",ROUND(IF(E215&gt;100,1,E215^2*'Reference Standards'!S$185+E215*'Reference Standards'!S$186+'Reference Standards'!S$187),2))</f>
        <v/>
      </c>
      <c r="G215" s="551"/>
      <c r="H215" s="535"/>
      <c r="I215" s="523"/>
      <c r="J215" s="523"/>
      <c r="K215" s="523"/>
    </row>
    <row r="216" spans="1:13" ht="15.75" x14ac:dyDescent="0.25">
      <c r="A216" s="465"/>
      <c r="B216" s="465"/>
      <c r="C216" s="76" t="s">
        <v>165</v>
      </c>
      <c r="D216" s="71"/>
      <c r="E216" s="202"/>
      <c r="F216" s="72" t="str">
        <f>IF(E216="","",ROUND(IF(E216&gt;=300,0.5,E216*'Reference Standards'!S$253),2))</f>
        <v/>
      </c>
      <c r="G216" s="551"/>
      <c r="H216" s="535"/>
      <c r="I216" s="523"/>
      <c r="J216" s="523"/>
      <c r="K216" s="523"/>
      <c r="M216" s="21"/>
    </row>
    <row r="217" spans="1:13" ht="15.75" x14ac:dyDescent="0.25">
      <c r="A217" s="465"/>
      <c r="B217" s="466"/>
      <c r="C217" s="77" t="s">
        <v>166</v>
      </c>
      <c r="D217" s="79"/>
      <c r="E217" s="202"/>
      <c r="F217" s="72" t="str">
        <f>IF(E217="","",ROUND(IF(E217&gt;=300,0.5,E217*'Reference Standards'!S$253),2))</f>
        <v/>
      </c>
      <c r="G217" s="552"/>
      <c r="H217" s="535"/>
      <c r="I217" s="523"/>
      <c r="J217" s="523"/>
      <c r="K217" s="523"/>
    </row>
    <row r="218" spans="1:13" ht="15.75" x14ac:dyDescent="0.25">
      <c r="A218" s="465"/>
      <c r="B218" s="69" t="s">
        <v>130</v>
      </c>
      <c r="C218" s="89" t="s">
        <v>168</v>
      </c>
      <c r="D218" s="71"/>
      <c r="E218" s="53"/>
      <c r="F218" s="234" t="str">
        <f>IF(E218="","",IF('Quantification Tool'!B$9="Gravel",IF(E218&gt;0.1,1,IF(E218&lt;=0.01,0,ROUND(E218*'Reference Standards'!$S$289+'Reference Standards'!$S$290,2)))))</f>
        <v/>
      </c>
      <c r="G218" s="100" t="str">
        <f>IFERROR(AVERAGE(F218),"")</f>
        <v/>
      </c>
      <c r="H218" s="535"/>
      <c r="I218" s="523"/>
      <c r="J218" s="523"/>
      <c r="K218" s="523"/>
    </row>
    <row r="219" spans="1:13" ht="15.75" x14ac:dyDescent="0.25">
      <c r="A219" s="465"/>
      <c r="B219" s="464" t="s">
        <v>54</v>
      </c>
      <c r="C219" s="78" t="s">
        <v>55</v>
      </c>
      <c r="D219" s="78"/>
      <c r="E219" s="209"/>
      <c r="F219" s="299" t="str">
        <f>IF(E219="","",   IF(AND('Quantification Tool'!$B$6="E",'Quantification Tool'!$B$9="Gravel"),ROUND(IF(OR(E219&lt;=2.3,E219&gt;=10.1),0,IF(E219&lt;4,E219*'Reference Standards'!$S$325+'Reference Standards'!$S$326,IF(E219&lt;=7.5,1,E219*'Reference Standards'!$T$325+'Reference Standards'!$T$326))),2),    IF(AND('Quantification Tool'!$B$6="E",'Quantification Tool'!$B$9="Sand"),ROUND(IF(OR(E219&lt;3,E219&gt;6.7),0,IF(E219&lt;=5,1,E219*'Reference Standards'!$S$357+'Reference Standards'!$S$358)),2),    IF(AND('Quantification Tool'!$B$6="C",OR('Quantification Tool'!$B$9="Gravel",'Quantification Tool'!$B$9="Sand")),ROUND(IF(OR(E219&lt;=2.3,E219&gt;=8.1),0,IF(E219&lt;4,E219*'Reference Standards'!$S$391+'Reference Standards'!$S$392,IF(E219&lt;=5.5,1,E219*'Reference Standards'!$T$391+'Reference Standards'!$T$392))),2), IF(AND(OR('Quantification Tool'!$B$6="Bc",'Quantification Tool'!$B$6="B"),'Quantification Tool'!$B$9="Gravel"),ROUND(IF(E219&gt;=7.1,0,IF(E219&gt;4.5,E219*'Reference Standards'!$S$423+'Reference Standards'!$S$424,1)),2))))))</f>
        <v/>
      </c>
      <c r="G219" s="506" t="str">
        <f>IFERROR(AVERAGE(F219:F222),"")</f>
        <v/>
      </c>
      <c r="H219" s="535"/>
      <c r="I219" s="523"/>
      <c r="J219" s="523"/>
      <c r="K219" s="523"/>
    </row>
    <row r="220" spans="1:13" ht="15.75" x14ac:dyDescent="0.25">
      <c r="A220" s="465"/>
      <c r="B220" s="465"/>
      <c r="C220" s="71" t="s">
        <v>56</v>
      </c>
      <c r="D220" s="71"/>
      <c r="E220" s="208"/>
      <c r="F220" s="300" t="str">
        <f>IF(E220="","",IF(E220&lt;1.25,0,IF(E220&gt;=2.8,1,IF(AND(OR('Quantification Tool'!B$6="B", 'Quantification Tool'!B$6="Bc"),'Quantification Tool'!$B$9="Gravel"),ROUND(E220^2*'Reference Standards'!S$489+E220*'Reference Standards'!S$490+'Reference Standards'!S$491,2), IF(AND(OR('Quantification Tool'!B$6="C", 'Quantification Tool'!B$6="E"),OR('Quantification Tool'!$B$9="Gravel",'Quantification Tool'!$B$9="Sand")), ROUND(IF(E220&lt;=1.7,E220*'Reference Standards'!$S$457+'Reference Standards'!$S$458,E220*'Reference Standards'!$T$457+'Reference Standards'!$T$458),2)    )))))</f>
        <v/>
      </c>
      <c r="G220" s="507"/>
      <c r="H220" s="535"/>
      <c r="I220" s="523"/>
      <c r="J220" s="523"/>
      <c r="K220" s="523"/>
    </row>
    <row r="221" spans="1:13" ht="15.75" x14ac:dyDescent="0.25">
      <c r="A221" s="465"/>
      <c r="B221" s="465"/>
      <c r="C221" s="71" t="s">
        <v>423</v>
      </c>
      <c r="D221" s="71"/>
      <c r="E221" s="208"/>
      <c r="F221" s="296" t="str">
        <f>IF(E221="","",IF(AND('Quantification Tool'!$B$6="E",OR('Quantification Tool'!$B$9="Sand",'Quantification Tool'!$B$9="Gravel")), IF(OR(E221&lt;20,E221&gt;73),0,ROUND(IF(E221&lt;25,E221*'Reference Standards'!$S$526+'Reference Standards'!$S$527,IF(E221&lt;35,1,E221^2*'Reference Standards'!$T$525+E221*'Reference Standards'!$T$526+'Reference Standards'!$T$527)),2)),  IF(AND('Quantification Tool'!$B$6="C",OR('Quantification Tool'!$B$9="Sand",'Quantification Tool'!$B$9="Gravel")), IF(OR(E221&lt;19,E221&gt;63),0,ROUND(IF(E221&lt;43,E221*'Reference Standards'!$S$560+'Reference Standards'!$S$561,IF(E221&lt;52,1,E221*'Reference Standards'!$T$560+'Reference Standards'!$T$561)),2)),IF(AND(OR('Quantification Tool'!$B$6="B",'Quantification Tool'!$B$6="Bc"),'Quantification Tool'!$B$9="Gravel"), IF(OR(E221&lt;18,E221&gt;82),0,ROUND(IF(E221&lt;30,E221^2*'Reference Standards'!$S$594+E221*'Reference Standards'!$S$595+'Reference Standards'!$S$596,IF(E221&lt;41,1,E221*'Reference Standards'!$T$595+'Reference Standards'!$T$596)),2))   ))))</f>
        <v/>
      </c>
      <c r="G221" s="507"/>
      <c r="H221" s="535"/>
      <c r="I221" s="523"/>
      <c r="J221" s="523"/>
      <c r="K221" s="523"/>
    </row>
    <row r="222" spans="1:13" ht="15.75" x14ac:dyDescent="0.25">
      <c r="A222" s="465"/>
      <c r="B222" s="466"/>
      <c r="C222" s="76" t="s">
        <v>254</v>
      </c>
      <c r="D222" s="71"/>
      <c r="E222" s="210"/>
      <c r="F222" s="297" t="str">
        <f>IF(E222="","",IF(E222&gt;=1.6,0,IF(E222&lt;=1,1,ROUND('Reference Standards'!$S$626*E222^3+'Reference Standards'!$S$627*E222^2+'Reference Standards'!$S$628*E222+'Reference Standards'!$S$629,2))))</f>
        <v/>
      </c>
      <c r="G222" s="508"/>
      <c r="H222" s="535"/>
      <c r="I222" s="523"/>
      <c r="J222" s="523"/>
      <c r="K222" s="523"/>
    </row>
    <row r="223" spans="1:13" ht="15.75" x14ac:dyDescent="0.25">
      <c r="A223" s="466"/>
      <c r="B223" s="292" t="s">
        <v>58</v>
      </c>
      <c r="C223" s="305" t="s">
        <v>57</v>
      </c>
      <c r="D223" s="306"/>
      <c r="E223" s="203"/>
      <c r="F223" s="80" t="str">
        <f>IF(E223="","",IF(AND('Quantification Tool'!B$6="E",'Quantification Tool'!$B$9="Sand",'Quantification Tool'!$B$17="Unconfined Alluvial"),ROUND(IF(OR(E223&gt;1.8,E223&lt;1.3),0,IF(E223&lt;=1.6,1,E223*'Reference Standards'!S$660+'Reference Standards'!S$661)),2),    IF('Quantification Tool'!$B$17="Unconfined Alluvial",ROUND(IF(OR(E223&lt;1.2, E223&gt;1.5),0,IF(E223&lt;=1.4,1,E223*'Reference Standards'!$S$693+'Reference Standards'!$S$694)),2), IF('Quantification Tool'!$B$17="Confined Alluvial",ROUND(IF(E223&lt;1.15,0,IF(E223&lt;=1.4,E223*'Reference Standards'!$S$722+'Reference Standards'!$S$723,1)),2),  IF('Quantification Tool'!$B$17="Colluvial",ROUND(IF(E223&gt;1.3,0,IF(E223&gt;1.2,E223*'Reference Standards'!$S$753+'Reference Standards'!$S$754,1)),2) )))))</f>
        <v/>
      </c>
      <c r="G223" s="102" t="str">
        <f>IFERROR(AVERAGE(F223),"")</f>
        <v/>
      </c>
      <c r="H223" s="535"/>
      <c r="I223" s="523"/>
      <c r="J223" s="523"/>
      <c r="K223" s="523"/>
      <c r="L223" s="13"/>
    </row>
    <row r="224" spans="1:13" ht="15.75" x14ac:dyDescent="0.25">
      <c r="A224" s="527" t="s">
        <v>61</v>
      </c>
      <c r="B224" s="83" t="s">
        <v>103</v>
      </c>
      <c r="C224" s="87" t="s">
        <v>427</v>
      </c>
      <c r="D224" s="87"/>
      <c r="E224" s="53"/>
      <c r="F224" s="82" t="str">
        <f>IF(E224="","",ROUND(IF(E224&gt;=942,0,IF(E224&lt;=487,E224*'Reference Standards'!AB$15+'Reference Standards'!AB$16,E224*'Reference Standards'!$AC$15+'Reference Standards'!$AC$16)),2))</f>
        <v/>
      </c>
      <c r="G224" s="103" t="str">
        <f>IFERROR(AVERAGE(F224),"")</f>
        <v/>
      </c>
      <c r="H224" s="555" t="str">
        <f>IFERROR(ROUND(AVERAGE(G224:G227),2),"")</f>
        <v/>
      </c>
      <c r="I224" s="569" t="str">
        <f>IF(H224="","",IF(H224&gt;0.69,"Functioning",IF(H224&gt;0.29,"Functioning At Risk",IF(H224&gt;-1,"Not Functioning"))))</f>
        <v/>
      </c>
      <c r="J224" s="523"/>
      <c r="K224" s="523"/>
      <c r="L224" s="13"/>
    </row>
    <row r="225" spans="1:12" ht="15.75" x14ac:dyDescent="0.25">
      <c r="A225" s="528"/>
      <c r="B225" s="399" t="s">
        <v>476</v>
      </c>
      <c r="C225" s="81" t="s">
        <v>457</v>
      </c>
      <c r="D225" s="81"/>
      <c r="E225" s="203"/>
      <c r="F225" s="85" t="str">
        <f>IF(E225="","",IF(OR('Quantification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June")),IF(E225&gt;93,0,IF(E225&lt;13,1,ROUND('Reference Standards'!$AB$53*E225^2+'Reference Standards'!$AB$54*E225+'Reference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Tool'!$B$7="73b"),IF(E225&gt;94,0,IF(E225&lt;17,1,ROUND('Reference Standards'!$AC$53*E225^2+'Reference Standards'!$AC$54*E225+'Reference Standards'!$AC$55,2))),    IF(OR(AND(OR('Quantification Tool'!$B$7="68b",'Quantification Tool'!$B$7="71i"),'Quantification Tool'!$B$8&gt;2), 'Quantification Tool'!$B$7="71e"),IF(E225&gt;91,0,IF(E225&lt;24,1,ROUND('Reference Standards'!$AD$53*E225^2+'Reference Standards'!$AD$54*E225+'Reference Standards'!$AD$55,2))),  IF(OR(AND(OR('Quantification Tool'!$B$7="71f",'Quantification Tool'!$B$7="71g",'Quantification Tool'!$B$7="71h",'Quantification Tool'!$B$7="71i"),'Quantification Tool'!$B$8&lt;=2), AND('Quantification Tool'!$B$7="74a",'Quantification Tool'!$B$8&gt;2)),IF(E225&gt;95,0,IF(E225&lt;=36,1,ROUND('Reference Standards'!$AE$53*E225^2+'Reference Standards'!$AE$54*E225+'Reference Standards'!$AE$55,2))))))))</f>
        <v/>
      </c>
      <c r="G225" s="295" t="str">
        <f>IFERROR(AVERAGE(F225:F225),"")</f>
        <v/>
      </c>
      <c r="H225" s="556"/>
      <c r="I225" s="570"/>
      <c r="J225" s="523"/>
      <c r="K225" s="523"/>
      <c r="L225" s="21"/>
    </row>
    <row r="226" spans="1:12" ht="15.75" x14ac:dyDescent="0.25">
      <c r="A226" s="528"/>
      <c r="B226" s="83" t="s">
        <v>93</v>
      </c>
      <c r="C226" s="84" t="s">
        <v>326</v>
      </c>
      <c r="D226" s="84"/>
      <c r="E226" s="202"/>
      <c r="F226" s="85" t="str">
        <f>IF(E226="","",IF(OR('Quantification Tool'!$B$7="66e",'Quantification Tool'!$B$7="66f",'Quantification Tool'!$B$7="66g"), ROUND(IF(E226&gt;=0.61,0,IF(E226&lt;=0.01,1,IF(E226&lt;=0.06,E226*'Reference Standards'!$AD$197+'Reference Standards'!$AD$198,E226^2*'Reference Standards'!$AB$196+E226*'Reference Standards'!$AB$197+'Reference Standards'!$AB$198))),2),  IF('Quantification Tool'!$B$7="68b", ROUND(IF(E226&gt;=1.1,0,IF(E226&lt;=0.17,1,IF(E226&lt;=0.22,E226*'Reference Standards'!$AE$197+'Reference Standards'!$AE$198,E226^2*'Reference Standards'!$AC$196+E226*'Reference Standards'!$AC$197+'Reference Standards'!$AC$198))),2),IF('Quantification Tool'!$B$8&lt;=2.5,   IF('Quantification Tool'!$B$7="69de",ROUND(IF(E226&gt;=0.22,0,IF(E226&lt;=0.01,1,E226^2*'Reference Standards'!$AB$90+E226*'Reference Standards'!$AB$91+'Reference Standards'!$AB$92)),2),   IF('Quantification Tool'!$B$7="68c",ROUND(IF(E226&gt;=0.87,0,IF(E226&lt;=0.01,1,E226^2*'Reference Standards'!$AC$90+E226*'Reference Standards'!$AC$91+'Reference Standards'!$AC$92)),2),   IF('Quantification Tool'!$B$7="68a",ROUND(IF(E226&gt;=0.81,0,IF(E226&lt;=0.01,1,E226^2*'Reference Standards'!$AD$90+E226*'Reference Standards'!$AD$91+'Reference Standards'!$AD$92)),2),   IF('Quantification Tool'!$B$7="65abei",ROUND(IF(E226&gt;=0.67,0,IF(E226&lt;=0.01,1,IF(E226&lt;=0.18,E226*'Reference Standards'!$AG$91+'Reference Standards'!$AG$92,E226*'Reference Standards'!$AE$91+'Reference Standards'!$AE$92))),2),   IF('Quantification Tool'!$B$7="65j",ROUND(IF(E226&gt;=0.32,0,IF(E226&lt;=0.01,1,IF(E226&lt;=0.25,E226*'Reference Standards'!$AH$91+'Reference Standards'!$AH$92,E226*'Reference Standards'!$AF$91+'Reference Standards'!$AF$92))),2),   IF('Quantification Tool'!$B$7="71f",ROUND(IF(E226&gt;=3,0,IF(E226&lt;=0,1,IF(E226&lt;=0.01,0.7,E226^2*'Reference Standards'!$AB$126+E226*'Reference Standards'!$AB$127+'Reference Standards'!$AB$128))),2),   IF('Quantification Tool'!$B$7="74a",ROUND(IF(E226&gt;=0.14,0,IF(E226&lt;=0.01,1,IF(E226&lt;=0.02,0.7,E226^2*'Reference Standards'!$AC$126+E226*'Reference Standards'!$AC$127+'Reference Standards'!$AC$128))),2),   IF(OR('Quantification Tool'!$B$7="67fhi",'Quantification Tool'!$B$7="67g"),ROUND(IF(E226&gt;=1.9,0,IF(E226&lt;=0.01,1,IF(E226&lt;=0.05,E226*'Reference Standards'!$AF$127+'Reference Standards'!$AF$128,E226^2*'Reference Standards'!$AD$126+E226*'Reference Standards'!$AD$127+'Reference Standards'!$AD$128))),2),   IF('Quantification Tool'!$B$7="73a",ROUND(IF(E226&gt;=1.44,0,IF(E226&lt;=0.01,1,IF(E226&lt;=0.12,E226*'Reference Standards'!$AG$127+'Reference Standards'!$AG$128,E226^2*'Reference Standards'!$AE$126+E226*'Reference Standards'!$AE$127+'Reference Standards'!$AE$128))),2),   IF('Quantification Tool'!$B$7="66d",ROUND(IF(E226&gt;=0.46,0,IF(E226&lt;=0.02,1,IF(E226&lt;=0.08,E226*'Reference Standards'!$AF$163+'Reference Standards'!$AF$164,E226^2*'Reference Standards'!$AB$162+E226*'Reference Standards'!$AB$163+'Reference Standards'!$AB$164))),2),   IF(OR('Quantification Tool'!$B$7="71g",'Quantification Tool'!$B$7="71h",'Quantification Tool'!$B$7="71i"),ROUND(IF(E226&gt;=3,0,IF(E226&lt;=0.06,1,IF(E226&lt;=0.24,E226*'Reference Standards'!$AG$163+'Reference Standards'!$AG$164, E226^2*'Reference Standards'!$AC$162+E226*'Reference Standards'!$AC$163+'Reference Standards'!$AC$164))),2),   IF('Quantification Tool'!$B$7="74b",ROUND(IF(E226&gt;=1.3,0,IF(E226&lt;=0.29,1,IF(E226&lt;=0.48,E226*'Reference Standards'!$AH$163+'Reference Standards'!$AH$164,E226^2*'Reference Standards'!$AD$162+E226*'Reference Standards'!$AD$163+'Reference Standards'!$AD$164))),2),   IF('Quantification Tool'!$B$7="71e",ROUND(IF(E226&gt;=4.3,0,IF(E226&lt;=0.53,1,IF(E226&lt;=0.67,E226*'Reference Standards'!$AI$163+'Reference Standards'!$AI$164,E226^2*'Reference Standards'!$AE$162+E226*'Reference Standards'!$AE$163+'Reference Standards'!$AE$164))),2)       ))))))))))))),IF('Quantification Tool'!$B$8&gt;2.5,    IF('Quantification Tool'!$B$7="73a",ROUND(IF(E226&gt;=0.55,0,IF(E226&lt;=0,1,E226^2*'Reference Standards'!$AB$232+E226*'Reference Standards'!$AB$233+'Reference Standards'!$AB$234)),2),   IF('Quantification Tool'!$B$7="68a",ROUND(IF(E226&gt;=0.54,0,IF(E226&lt;=0,1, IF(E226&lt;=0.01,0.85, E226^2*'Reference Standards'!$AC$232+E226*'Reference Standards'!$AC$233+'Reference Standards'!$AC$234))),2),   IF('Quantification Tool'!$B$7="74a",ROUND(IF(E226&gt;=0.47,0,IF(E226&lt;=0.01,1, IF(E226&lt;=0.02,0.7, E226^2*'Reference Standards'!$AD$232+E226*'Reference Standards'!$AD$233+'Reference Standards'!$AD$234))),2),    IF('Quantification Tool'!$B$7="69de",ROUND(IF(E226&gt;=0.26,0,IF(E226&lt;=0.01,1, IF(E226&lt;=0.02,0.85, E226^2*'Reference Standards'!$AE$232+E226*'Reference Standards'!$AE$233+'Reference Standards'!$AE$234))),2),   IF('Quantification Tool'!$B$7="71f",ROUND(IF(E226&gt;=0.87,0,IF(E226&lt;=0.01,1,IF(E226&lt;=0.04,E226*'Reference Standards'!$AF$269+'Reference Standards'!$AF$270,E226^2*'Reference Standards'!$AB$268+E226*'Reference Standards'!$AB$269+'Reference Standards'!$AB$270))),2),  IF('Quantification Tool'!$B$7="65abei",ROUND(IF(E226&gt;=0.82,0,IF(E226&lt;=0.01,1,IF(E226&lt;=0.06,E226*'Reference Standards'!$AG$269+'Reference Standards'!$AG$270,E226^2*'Reference Standards'!$AC$268+E226*'Reference Standards'!$AC$269+'Reference Standards'!$AC$270))),2),  IF('Quantification Tool'!$B$7="65j",ROUND(IF(E226&gt;=0.33,0,IF(E226&lt;=0.03,1,IF(E226&lt;=0.09,E226*'Reference Standards'!$AH$269+'Reference Standards'!$AH$270,E226^2*'Reference Standards'!$AD$268+E226*'Reference Standards'!$AD$269+'Reference Standards'!$AD$270))),2),  IF('Quantification Tool'!$B$7="68c",ROUND(IF(E226&gt;=0.7,0,IF(E226&lt;=0.07,1,IF(E226&lt;=0.12,E226*'Reference Standards'!$AI$269+'Reference Standards'!$AI$270,E226^2*'Reference Standards'!$AE$268+E226*'Reference Standards'!$AE$269+'Reference Standards'!$AE$270))),2),   IF(OR('Quantification Tool'!$B$7="67fhi",'Quantification Tool'!$B$7="67g"),ROUND(IF(E226&gt;=1.8,0,IF(E226&lt;=0.08,1,IF(E226&lt;=0.2,E226*'Reference Standards'!$AF$306+'Reference Standards'!$AF$307,E226^2*'Reference Standards'!$AB$305+E226*'Reference Standards'!$AB$306+'Reference Standards'!$AB$307))),2),   IF('Quantification Tool'!$B$7="74b",ROUND(IF(E226&gt;=0.96,0,IF(E226&lt;=0.12,1,IF(E226&lt;=0.16,E226*'Reference Standards'!$AG$306+'Reference Standards'!$AG$307,E226^2*'Reference Standards'!$AC$305+E226*'Reference Standards'!$AC$306+'Reference Standards'!$AC$307))),2),   IF('Quantification Tool'!$B$7="66d",ROUND(IF(E226&gt;=0.75,0,IF(E226&lt;=0.13,1,IF(E226&lt;=0.2,E226*'Reference Standards'!$AH$306+'Reference Standards'!$AH$307,E226^2*'Reference Standards'!$AD$305+E226*'Reference Standards'!$AD$306+'Reference Standards'!$AD$307))),2),    IF(OR('Quantification Tool'!$B$7="71g",'Quantification Tool'!$B$7="71h",'Quantification Tool'!$B$7="71i"),ROUND(IF(E226&gt;=1.68,0,IF(E226&lt;=0.08,1,IF(E226&lt;=0.23,E226*'Reference Standards'!$AI$306+'Reference Standards'!$AI$307,E226^2*'Reference Standards'!$AE$305+E226*'Reference Standards'!$AE$306+'Reference Standards'!$AE$307))),2),   IF('Quantification Tool'!$B$7="71e",ROUND(IF(E226&gt;=5.3,0,IF(E226&lt;=0.94,1,IF(E226&lt;=1.4,E226*'Reference Standards'!$AF$310+'Reference Standards'!$AF$311,E226^2*'Reference Standards'!$AB$309+E226*'Reference Standards'!$AB$310+'Reference Standards'!$AB$311))),2))    )))))))))))))))))</f>
        <v/>
      </c>
      <c r="G226" s="104" t="str">
        <f>IFERROR(AVERAGE(F226),"")</f>
        <v/>
      </c>
      <c r="H226" s="556"/>
      <c r="I226" s="570"/>
      <c r="J226" s="523"/>
      <c r="K226" s="523"/>
      <c r="L226" s="21"/>
    </row>
    <row r="227" spans="1:12" ht="15.75" x14ac:dyDescent="0.25">
      <c r="A227" s="529"/>
      <c r="B227" s="293" t="s">
        <v>94</v>
      </c>
      <c r="C227" s="81" t="s">
        <v>325</v>
      </c>
      <c r="D227" s="81"/>
      <c r="E227" s="167"/>
      <c r="F227" s="82" t="str">
        <f>IF(E227="","",IF('Quantification Tool'!$B$8&gt;2.5,IF(OR('Quantification Tool'!$B$7="71h",'Quantification Tool'!$B$7="71i",'Quantification Tool'!$B$7="73a",'Quantification Tool'!$B$7="74a"),IF(E227&lt;=0.01,1,IF(OR('Quantification Tool'!$B$7="71h",'Quantification Tool'!$B$7="71i"),IF(E227&gt;0.37,0,ROUND(IF(E227&gt;0.03,'Reference Standards'!$AB$425*E227^2+'Reference Standards'!$AB$426*E227+'Reference Standards'!$AB$427,'Reference Standards'!$AF$426*E227+'Reference Standards'!$AF$427),2)),  IF('Quantification Tool'!$B$7="73a",IF(E227&gt;0.405,0,ROUND(IF(E227&gt;0.046,'Reference Standards'!$AC$425*E227^2+'Reference Standards'!$AC$426*E227+'Reference Standards'!$AC$427,'Reference Standards'!$AG$426*E227+'Reference Standards'!$AG$427),2)),IF('Quantification Tool'!$B$7="74a",IF(E227&gt;0.3,0,ROUND(IF(E227&gt;0.052,'Reference Standards'!$AD$425*E227^2+'Reference Standards'!$AD$426*E227+'Reference Standards'!$AD$427,'Reference Standards'!$AH$426*E227+'Reference Standards'!$AH$427),2)))))),   IF(E227&lt;=0.002,1,IF(OR('Quantification Tool'!$B$7="66d",'Quantification Tool'!$B$7="66e",'Quantification Tool'!$B$7="66g"),IF(E227&gt;0.053,0,ROUND(E227^2*'Reference Standards'!$AB$347+E227*'Reference Standards'!$AB$348+'Reference Standards'!$AB$349,2)), IF('Quantification Tool'!$B$7="68b",IF(E227&gt;0.05,0,ROUND(E227^2*'Reference Standards'!$AC$347+E227*'Reference Standards'!$AC$348+'Reference Standards'!$AC$349,2)),  IF(OR('Quantification Tool'!$B$7="68a",'Quantification Tool'!$B$7="68c"),IF(E227&gt;0.07,0,ROUND(E227^2*'Reference Standards'!$AD$347+E227*'Reference Standards'!$AD$348+'Reference Standards'!$AD$349,2)), IF(OR('Quantification Tool'!$B$7="71f",'Quantification Tool'!$B$7="71g"),IF(E227&gt;0.13,0,ROUND(IF(E227&gt;0.042,E227*'Reference Standards'!$AE$348+'Reference Standards'!$AE$349,E227*'Reference Standards'!$AF$348+'Reference Standards'!$AF$349),2)), IF('Quantification Tool'!$B$7="67fhi",IF(E227&gt;0.16,0,ROUND(E227^2*'Reference Standards'!$AG$347+E227*'Reference Standards'!$AG$348+'Reference Standards'!$AG$349,2)),  IF('Quantification Tool'!$B$7="65j",IF(E227&gt;0.035,0,ROUND(IF(E227&lt;=0.003,0.7,E227^2*'Reference Standards'!$AB$387+E227*'Reference Standards'!$AB$388+'Reference Standards'!$AB$389),2)),IF('Quantification Tool'!$B$7="69de",IF(E227&gt;0.037,0,ROUND(IF(E227&lt;=0.003,0.7,E227^2*'Reference Standards'!$AC$387+E227*'Reference Standards'!$AC$388+'Reference Standards'!$AC$389),2)),IF('Quantification Tool'!$B$7="71e",IF(E227&gt;0.23,0,ROUND(IF(E227&lt;=0.003,0.7,E227^2*'Reference Standards'!$AD$387+E227*'Reference Standards'!$AD$388+'Reference Standards'!$AD$389),2)),IF('Quantification Tool'!$B$7="66f",IF(E227&gt;0.06,0,ROUND(IF(E227&lt;=0.003,0.85,IF(E227&lt;=0.004,0.7,E227^2*'Reference Standards'!$AE$387+E227*'Reference Standards'!$AE$388+'Reference Standards'!$AE$389)),2)),IF('Quantification Tool'!$B$7="67g",IF(E227&gt;0.11,0,ROUND(IF(E227&lt;=0.01,E227*'Reference Standards'!$AH$388+'Reference Standards'!$AH$389, E227^2*'Reference Standards'!$AF$387+E227*'Reference Standards'!$AF$388+'Reference Standards'!$AF$389),2)),IF('Quantification Tool'!$B$7="74b",IF(E227&gt;0.49,0,ROUND(IF(E227&lt;=0.01,E227*'Reference Standards'!$AH$388+'Reference Standards'!$AH$389, E227^2*'Reference Standards'!$AG$387+E227*'Reference Standards'!$AG$388+'Reference Standards'!$AG$389),2)),IF('Quantification Tool'!$B$7="65abei",IF(E227&gt;0.199,0,ROUND(IF(E227&lt;=0.01,E227*'Reference Standards'!$AI$426+'Reference Standards'!$AI$427, E227^2*'Reference Standards'!$AE$425+E227*'Reference Standards'!$AE$426+'Reference Standards'!$AE$427),2))    )))))))))))))),      IF('Quantification Tool'!$B$8&lt;=2.5, IF(OR('Quantification Tool'!$B$7="66d",'Quantification Tool'!$B$7="66e",'Quantification Tool'!$B$7="66g"),IF(E227&gt;0.05,0,ROUND(IF(E227&lt;=0.002,1,IF(E227&lt;=0.005,E227*'Reference Standards'!$AF$464+'Reference Standards'!$AF$465, E227^2*'Reference Standards'!$AB$463+E227*'Reference Standards'!$AB$464+'Reference Standards'!$AB$465)),2)), IF('Quantification Tool'!$B$7="67fhi",IF(E227&gt;0.1,0,ROUND(IF(E227&lt;=0.002,1,IF(E227&lt;=0.006,E227*'Reference Standards'!$AG$464+'Reference Standards'!$AG$465, E227^2*'Reference Standards'!$AC$463+E227*'Reference Standards'!$AC$464+'Reference Standards'!$AC$465)),2)), IF('Quantification Tool'!$B$7="65abei",IF(E227&gt;0.13,0,ROUND(IF(E227&lt;=0.003,1,IF(E227&lt;=0.008,E227*'Reference Standards'!$AH$464+'Reference Standards'!$AH$465, E227^2*'Reference Standards'!$AD$463+E227*'Reference Standards'!$AD$464+'Reference Standards'!$AD$465)),2)), IF('Quantification Tool'!$B$7="68b",IF(E227&gt;0.043,0,ROUND(IF(E227&lt;=0.004,1, IF(E227&lt;=0.005,0.7, E227^2*'Reference Standards'!$AE$463+E227*'Reference Standards'!$AE$464+'Reference Standards'!$AE$465)),2)), IF('Quantification Tool'!$B$7="69de",IF(E227&gt;=0.034,0,ROUND(IF(E227&lt;=0.003,1, IF(E227&lt;=0.006,E227*'Reference Standards'!$AG$500+'Reference Standards'!$AG$501, E227*'Reference Standards'!$AB$500+'Reference Standards'!$AB$501)),2)), IF(OR('Quantification Tool'!$B$7="68a",'Quantification Tool'!$B$7="68c"),IF(E227&gt;0.202,0,ROUND(IF(E227&lt;=0.003,1, IF(E227&lt;=0.006,E227*'Reference Standards'!$AG$500+'Reference Standards'!$AG$501, IF(E227&gt;=0.04,E227*'Reference Standards'!$AC$500+'Reference Standards'!$AC$501,E227*'Reference Standards'!$AE$500+'Reference Standards'!$AE$501))),2)), IF(OR('Quantification Tool'!$B$7="71f",'Quantification Tool'!$B$7="71g"),IF(E227&gt;0.631,0,ROUND(IF(E227&lt;=0.003,1, IF(E227&lt;=0.006,E227*'Reference Standards'!$AG$500+'Reference Standards'!$AG$501, IF(E227&gt;=0.17,E227*'Reference Standards'!$AD$500+'Reference Standards'!$AD$501,E227*'Reference Standards'!$AF$500+'Reference Standards'!$AF$501))),2)),   IF('Quantification Tool'!$B$7="71e",IF(E227&gt;1.23,0,ROUND(IF(E227&lt;=0.004,1,IF(E227&lt;=0.006,E227*'Reference Standards'!$AF$538+'Reference Standards'!$AF$539, E227^2*'Reference Standards'!$AB$537+E227*'Reference Standards'!$AB$538+'Reference Standards'!$AB$539)),2)), IF('Quantification Tool'!$B$7="67g",IF(E227&gt;0.11,0,ROUND(IF(E227&lt;=0.006,1,IF(E227&lt;=0.011,E227*'Reference Standards'!$AG$538+'Reference Standards'!$AG$539, E227^2*'Reference Standards'!$AC$537+E227*'Reference Standards'!$AC$538+'Reference Standards'!$AC$539)),2)), IF('Quantification Tool'!$B$7="65j",IF(E227&gt;0.046,0,ROUND(IF(E227&lt;=0.007,1,IF(E227&lt;=0.012,E227*'Reference Standards'!$AH$538+'Reference Standards'!$AH$539, E227^2*'Reference Standards'!$AD$537+E227*'Reference Standards'!$AD$538+'Reference Standards'!$AD$539)),2)), IF('Quantification Tool'!$B$7="66f",IF(E227&gt;0.081,0,ROUND(IF(E227&lt;=0.008,1,IF(E227&lt;=0.011,E227*'Reference Standards'!$AI$538+'Reference Standards'!$AI$539, E227^2*'Reference Standards'!$AE$537+E227*'Reference Standards'!$AE$538+'Reference Standards'!$AE$539)),2)), IF(OR('Quantification Tool'!$B$7="71h",'Quantification Tool'!$B$7="71i"),IF(E227&gt;0.37,0,ROUND(IF(E227&lt;=0.013,1,IF(E227&lt;=0.032,E227*'Reference Standards'!$AH$576+'Reference Standards'!$AH$577, IF(E227&lt;=0.3,E227*'Reference Standards'!$AF$576+'Reference Standards'!$AF$577,E227*'Reference Standards'!$AB$576+'Reference Standards'!$AB$577))),2)), IF('Quantification Tool'!$B$7="73a",IF(E227&gt;0.448,0,ROUND(IF(E227&lt;=0.071,1,IF(E227&lt;=0.086,E227*'Reference Standards'!$AJ$576+'Reference Standards'!$AJ$577, IF(E227&lt;=0.165,E227*'Reference Standards'!$AG$576+'Reference Standards'!$AG$577,E227*'Reference Standards'!$AE$576+'Reference Standards'!$AE$577))),2)),  IF('Quantification Tool'!$B$7="74b",IF(E227&gt;0.43,0,ROUND(IF(E227&lt;=0.018,1,IF(E227&lt;=0.019,0.85, IF(E227&lt;=0.02,0.7, E227^2*'Reference Standards'!$AC$575+E227*'Reference Standards'!$AC$576+'Reference Standards'!$AC$577))),2)), IF('Quantification Tool'!$B$7="74a",IF(E227&gt;0.217,0,ROUND(IF(E227&lt;=0.02,1,IF(E227&lt;=0.033,E227*'Reference Standards'!$AI$576+'Reference Standards'!$AI$577, E227^2*'Reference Standards'!$AD$575+E227*'Reference Standards'!$AD$576+'Reference Standards'!$AD$577)),2))     ))))))))))))))))))</f>
        <v/>
      </c>
      <c r="G227" s="105" t="str">
        <f>IFERROR(AVERAGE(F227),"")</f>
        <v/>
      </c>
      <c r="H227" s="557"/>
      <c r="I227" s="571"/>
      <c r="J227" s="523"/>
      <c r="K227" s="523"/>
      <c r="L227" s="21"/>
    </row>
    <row r="228" spans="1:12" ht="15.75" x14ac:dyDescent="0.25">
      <c r="A228" s="538" t="s">
        <v>62</v>
      </c>
      <c r="B228" s="517" t="s">
        <v>432</v>
      </c>
      <c r="C228" s="154" t="s">
        <v>419</v>
      </c>
      <c r="D228" s="155"/>
      <c r="E228" s="209"/>
      <c r="F228" s="219" t="str">
        <f>IF(E228="","",IF(OR('Quantification Tool'!B$7="73a",'Quantification Tool'!B$7="73b"),IF(E228&lt;1,0,IF(E228&gt;=30,1,ROUND(IF(E228&lt;22,'Reference Standards'!$AL$16*E228+'Reference Standards'!$AL$17,'Reference Standards'!$AM$16*E228+'Reference Standards'!$AM$17),2))), IF(E228&lt;1,0, IF(E228&gt;=42,1, ROUND(IF(E228&lt;32,'Reference Standards'!$AN$16*E228+'Reference Standards'!$AN$17,'Reference Standards'!$AO$16*E228+'Reference Standards'!$AO$17),2)))))</f>
        <v/>
      </c>
      <c r="G228" s="558" t="str">
        <f>IFERROR(AVERAGE(F228:F231),"")</f>
        <v/>
      </c>
      <c r="H228" s="537" t="str">
        <f>IFERROR(ROUND(AVERAGE(G228:G233),2),"")</f>
        <v/>
      </c>
      <c r="I228" s="572" t="str">
        <f>IF(H228="","",IF(H228&gt;0.69,"Functioning",IF(H228&gt;0.29,"Functioning At Risk",IF(H228&gt;-1,"Not Functioning"))))</f>
        <v/>
      </c>
      <c r="J228" s="523"/>
      <c r="K228" s="523"/>
      <c r="L228" s="21"/>
    </row>
    <row r="229" spans="1:12" ht="15.75" x14ac:dyDescent="0.25">
      <c r="A229" s="539"/>
      <c r="B229" s="518"/>
      <c r="C229" s="217" t="s">
        <v>424</v>
      </c>
      <c r="D229" s="218"/>
      <c r="E229" s="208"/>
      <c r="F229" s="221" t="str">
        <f>IF(E229="","",IF(AND('Quantification Tool'!$B$7="74b",'Quantification Tool'!$B$8&lt;=2),IF(E229&lt;0,0,IF(E229&gt;15.6,0.69,ROUND('Reference Standards'!$AL$54*E229^2+'Reference Standards'!$AL$55*E229+'Reference Standards'!$AL$56,2))),IF(AND('Quantification Tool'!$B$7="65abei",'Quantification Tool'!$B$8&lt;=2),IF(E229&lt;0,0,IF(E229&gt;=20,0.69,ROUND('Reference Standards'!$AM$54*E229^2+'Reference Standards'!$AM$55*E229+'Reference Standards'!$AM$56,2))),IF(OR(AND('Quantification Tool'!$B$7="74a",'Quantification Tool'!$B$8&gt;2,'Quantification Tool'!$B$14="January - June"),AND('Quantification Tool'!$B$7="71i",'Quantification Tool'!$B$8&gt;2,'Quantification Tool'!$B$15="SQBANK")),IF(E229&lt;0,0,IF(E229&gt;24.7,0.69,ROUND('Reference Standards'!$AN$54*E229^2+'Reference Standards'!$AN$55*E229+'Reference Standards'!$AN$56,2))),IF(OR('Quantification Tool'!$B$7="74b",'Quantification Tool'!$B$7="65abei"),IF(E229&lt;0,0,IF(E229&gt;32.7,0.69,ROUND('Reference Standards'!$AO$54*E229^2+'Reference Standards'!$AO$55*E229+'Reference Standards'!$AO$56,2))),IF(AND('Quantification Tool'!$B$7="68b",'Quantification Tool'!$B$8&gt;2),IF(E229&lt;0,0,IF(E229&gt;41.2,0.69,ROUND('Reference Standards'!$AP$54*E229^2+'Reference Standards'!$AP$55*E229+'Reference Standards'!$AP$56,2))),IF(OR(AND('Quantification Tool'!$B$7="71i",'Quantification Tool'!$B$8&lt;=2),AND(OR('Quantification Tool'!$B$7="68c",'Quantification Tool'!$B$7="68d"),'Quantification Tool'!$B$14="January - June")),IF(E229&lt;0,0,IF(E229&gt;49.2,0.69,ROUND('Reference Standards'!$AL$94*E229^2+'Reference Standards'!$AL$95*E229+'Reference Standards'!$AL$96,2))),IF(OR(AND('Quantification Tool'!$B$7="68a",'Quantification Tool'!$B$14="January - June"),AND(OR('Quantification Tool'!$B$7="68c",'Quantification Tool'!$B$7="68d"),'Quantification Tool'!$B$14="July - December")),IF(E229&lt;0,0,IF(E229&gt;53.4,0.69,ROUND('Reference Standards'!$AM$94*E229^2+'Reference Standards'!$AM$95*E229+'Reference Standards'!$AM$96,2))),IF(OR(AND('Quantification Tool'!$B$7="71i",'Quantification Tool'!$B$8&gt;2,'Quantification Tool'!$B$15="SQKICK"),AND(OR('Quantification Tool'!$B$7="67fhi",'Quantification Tool'!$B$7="67g"),'Quantification Tool'!$B$8&lt;=2),'Quantification Tool'!$B$7="65j"),IF(E229&lt;0,0,IF(E229&gt;57.8,0.69,ROUND('Reference Standards'!$AN$94*E229^2+'Reference Standards'!$AN$95*E229+'Reference Standards'!$AN$96,2))),IF(OR(AND('Quantification Tool'!$B$7="74a",'Quantification Tool'!$B$8&gt;2,'Quantification Tool'!$B$14="July - December"),AND(OR('Quantification Tool'!$B$7="67fhi",'Quantification Tool'!$B$7="67g"),'Quantification Tool'!$B$8&gt;2),'Quantification Tool'!$B$7="69de"),IF(E229&lt;0,0,IF(E229&gt;62.5,0.69,ROUND('Reference Standards'!$AO$94*E229^2+'Reference Standards'!$AO$95*E229+'Reference Standards'!$AO$96,2))),  IF(OR('Quantification Tool'!$B$7="66d",'Quantification Tool'!$B$7="66e",'Quantification Tool'!$B$7="66ik",'Quantification Tool'!$B$7="71e",'Quantification Tool'!$B$7="71f",'Quantification Tool'!$B$7="71g",'Quantification Tool'!$B$7="71h"),IF(E229&lt;0,0,IF(E229&gt;66.5,0.69,ROUND('Reference Standards'!$AP$94*E229^2+'Reference Standards'!$AP$95*E229+'Reference Standards'!$AP$96,2))),IF(OR('Quantification Tool'!$B$7="66f",'Quantification Tool'!$B$7="66g",'Quantification Tool'!$B$7="66j",AND('Quantification Tool'!$B$7="68a",'Quantification Tool'!$B$14="July - December")), IF(E229&lt;0,0,IF(E229&gt;69,0.69,ROUND('Reference Standards'!$AQ$94*E229^2+'Reference Standards'!$AQ$95*E229+'Reference Standards'!$AQ$96,2))))   )))))))))))</f>
        <v/>
      </c>
      <c r="G229" s="558"/>
      <c r="H229" s="537"/>
      <c r="I229" s="572"/>
      <c r="J229" s="523"/>
      <c r="K229" s="523"/>
      <c r="L229" s="21"/>
    </row>
    <row r="230" spans="1:12" ht="15.75" x14ac:dyDescent="0.25">
      <c r="A230" s="539"/>
      <c r="B230" s="518"/>
      <c r="C230" s="217" t="s">
        <v>428</v>
      </c>
      <c r="D230" s="218"/>
      <c r="E230" s="208"/>
      <c r="F230" s="221" t="str">
        <f>IF(E230="","",IF(AND('Quantification Tool'!$B$7="74b",'Quantification Tool'!$B$8&lt;=2),IF(E230&lt;0,0,IF(E230&gt;8.1,0.69,ROUND('Reference Standards'!$AL$131*E230^2+'Reference Standards'!$AL$132*E230+'Reference Standards'!$AL$133,2))),IF(OR('Quantification Tool'!$B$7="73a",'Quantification Tool'!$B$7="73b"),IF(E230&lt;0,0,IF(E230&gt;=28,0.69,ROUND('Reference Standards'!$AM$131*E230^2+'Reference Standards'!$AM$132*E230+'Reference Standards'!$AM$133,2))),IF(AND('Quantification Tool'!$B$7="74a",'Quantification Tool'!$B$8&gt;2,'Quantification Tool'!$B$14="January - June"),IF(E230&lt;0,0,IF(E230&gt;=32.5,0.69,ROUND('Reference Standards'!$AN$131*E230^2+'Reference Standards'!$AN$132*E230+'Reference Standards'!$AN$133,2))),IF(AND('Quantification Tool'!$B$7="71i",'Quantification Tool'!$B$8&gt;2,'Quantification Tool'!$B$15="SQBANK"),IF(E230&lt;0,0,IF(E230&gt;=37,0.69,ROUND('Reference Standards'!$AO$131*E230^2+'Reference Standards'!$AO$132*E230+'Reference Standards'!$AO$133,2))),IF(OR(AND(OR('Quantification Tool'!$B$7="65abei",'Quantification Tool'!$B$7="74b"),'Quantification Tool'!$B$8&gt;2),AND('Quantification Tool'!$B$7="71i",'Quantification Tool'!$B$8&gt;2,'Quantification Tool'!$B$15="SQKICK")),IF(E230&lt;0,0,IF(E230&gt;42.6,0.69,ROUND('Reference Standards'!$AP$131*E230^2+'Reference Standards'!$AP$132*E230+'Reference Standards'!$AP$133,2))),     IF(OR(AND('Quantification Tool'!$B$7="65abei",'Quantification Tool'!$B$8&lt;=2),AND(OR('Quantification Tool'!$B$7="68c",'Quantification Tool'!$B$7="68d"),'Quantification Tool'!$B$14="July - December"),'Quantification Tool'!$B$7="71e"),IF(E230&lt;0,0,IF(E230&gt;=48,0.69,ROUND('Reference Standards'!$AL$171*E230^2+'Reference Standards'!$AL$172*E230+'Reference Standards'!$AL$173,2))),IF(OR('Quantification Tool'!$B$7="65j",'Quantification Tool'!$B$7="67fhi",'Quantification Tool'!$B$7="67g",AND('Quantification Tool'!$B$7="74a",'Quantification Tool'!$B$14="July - December",'Quantification Tool'!$B$8&gt;2),AND('Quantification Tool'!$B$7="71i",'Quantification Tool'!$B$8&lt;=2)),IF(E230&lt;0,0,IF(E230&gt;=53,0.69,ROUND('Reference Standards'!$AM$171*E230^2+'Reference Standards'!$AM$172*E230+'Reference Standards'!$AM$173,2))),IF(OR(AND(OR('Quantification Tool'!$B$7="68b",'Quantification Tool'!$B$7="71f",'Quantification Tool'!$B$7="71g",'Quantification Tool'!$B$7="71h"),'Quantification Tool'!$B$8&gt;2),'Quantification Tool'!$B$7="68a"),IF(E230&lt;0,0,IF(E230&gt;=57,0.69,ROUND('Reference Standards'!$AN$171*E230^2+'Reference Standards'!$AN$172*E230+'Reference Standards'!$AN$173,2))),IF(OR('Quantification Tool'!$B$7="66f",'Quantification Tool'!$B$7="66g",'Quantification Tool'!$B$7="66j",AND(OR('Quantification Tool'!$B$7="71f",'Quantification Tool'!$B$7="71g",'Quantification Tool'!$B$7="71h"),'Quantification Tool'!$B$8&lt;=2)),IF(E230&lt;0,0,IF(E230&gt;=60,0.69,ROUND('Reference Standards'!$AO$171*E230^2+'Reference Standards'!$AO$172*E230+'Reference Standards'!$AO$173,2))),  IF(OR('Quantification Tool'!$B$7="66d",'Quantification Tool'!$B$7="66e",'Quantification Tool'!$B$7="66ik", AND(OR('Quantification Tool'!$B$7="68c",'Quantification Tool'!$B$7="68d"),'Quantification Tool'!$B$14="January - June"),AND('Quantification Tool'!$B$7="69de",'Quantification Tool'!$B$14="July - December")),IF(E230&lt;0,0,IF(E230&gt;=67.5,0.69,ROUND('Reference Standards'!$AP$171*E230^2+'Reference Standards'!$AP$172*E230+'Reference Standards'!$AP$173,2))),IF(AND('Quantification Tool'!$B$7="69de",'Quantification Tool'!$B$14="January - June"), IF(E230&lt;0,0,IF(E230&gt;=72,0.69,ROUND('Reference Standards'!$AQ$171*E230^2+'Reference Standards'!$AQ$172*E230+'Reference Standards'!$AQ$173,2))))   )))))))))))</f>
        <v/>
      </c>
      <c r="G230" s="558"/>
      <c r="H230" s="537"/>
      <c r="I230" s="572"/>
      <c r="J230" s="523"/>
      <c r="K230" s="523"/>
      <c r="L230" s="21"/>
    </row>
    <row r="231" spans="1:12" ht="15.75" x14ac:dyDescent="0.25">
      <c r="A231" s="539"/>
      <c r="B231" s="519"/>
      <c r="C231" s="156" t="s">
        <v>425</v>
      </c>
      <c r="D231" s="88"/>
      <c r="E231" s="210"/>
      <c r="F231" s="221" t="str">
        <f>IF(E231="","",IF(OR('Quantification Tool'!$B$7="67fhi",'Quantification Tool'!$B$7="67g",'Quantification Tool'!$B$7="71e",'Quantification Tool'!$B$7="73a",'Quantification Tool'!$B$7="73b",AND(OR('Quantification Tool'!$B$7="71f",'Quantification Tool'!$B$7="71g",'Quantification Tool'!$B$7="71h"),'Quantification Tool'!$B$8&gt;2)),IF(E231&gt;100,0,IF(E231&lt;15,0.69,ROUND('Reference Standards'!$AL$208*E231^2+'Reference Standards'!$AL$209*E231+'Reference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),IF(E231&gt;100,0,IF(E231&lt;19,0.69,ROUND('Reference Standards'!$AM$208*E231^2+'Reference Standards'!$AM$209*E231+'Reference Standards'!$AM$210,2))),    IF(OR(AND('Quantification Tool'!$B$7="69de",'Quantification Tool'!$B$14="January - June"),AND('Quantification Tool'!$B$7="71i",'Quantification Tool'!$B$8&gt;2,'Quantification Tool'!$B$15="SQKICK" )),IF(E231&gt;100,0,IF(E231&lt;22,0.69,ROUND('Reference Standards'!$AN$208*E231^2+'Reference Standards'!$AN$209*E231+'Reference Standards'!$AN$210,2))),    IF(OR('Quantification Tool'!$B$7="65j",AND('Quantification Tool'!$B$7="68b",'Quantification Tool'!$B$8&gt;2)),IF(E231&gt;100,0,IF(E231&lt;24,0.69,ROUND('Reference Standards'!$AO$208*E231^2+'Reference Standards'!$AO$209*E231+'Reference Standards'!$AO$210,2))),    IF(AND(OR('Quantification Tool'!$B$7="65abei",'Quantification Tool'!$B$7="71f",'Quantification Tool'!$B$7="71g",'Quantification Tool'!$B$7="71h"),'Quantification Tool'!$B$8&lt;=2),IF(E231&gt;95,0,IF(E231&lt;33,0.69,ROUND('Reference Standards'!$AL$246*E231^2+'Reference Standards'!$AL$247*E231+'Reference Standards'!$AL$248,2))),   IF(AND(OR('Quantification Tool'!$B$7="65abei",'Quantification Tool'!$B$7="74b"),'Quantification Tool'!$B$8&gt;2),IF(E231&gt;97,0,IF(E231&lt;36,0.69,ROUND('Reference Standards'!$AM$246*E231^2+'Reference Standards'!$AM$247*E231+'Reference Standards'!$AM$248,2))),  IF(AND('Quantification Tool'!$B$7="74a",'Quantification Tool'!$B$14="January - June",'Quantification Tool'!$B$8&gt;2),IF(E231&gt;93,0,IF(E231&lt;52,0.69,ROUND('Reference Standards'!$AN$246*E231^2+'Reference Standards'!$AN$247*E231+'Reference Standards'!$AN$248,2))),   IF(AND('Quantification Tool'!$B$7="74b",'Quantification Tool'!$B$8&lt;=2),IF(E231&gt;97,0,IF(E231&lt;62,0.69,ROUND('Reference Standards'!$AO$246*E231^2+'Reference Standards'!$AO$247*E231+'Reference Standards'!$AO$248,2)))  )))))))))</f>
        <v/>
      </c>
      <c r="G231" s="558"/>
      <c r="H231" s="537"/>
      <c r="I231" s="572"/>
      <c r="J231" s="523"/>
      <c r="K231" s="523"/>
      <c r="L231" s="21"/>
    </row>
    <row r="232" spans="1:12" ht="15.75" x14ac:dyDescent="0.25">
      <c r="A232" s="539"/>
      <c r="B232" s="530" t="s">
        <v>86</v>
      </c>
      <c r="C232" s="154" t="s">
        <v>255</v>
      </c>
      <c r="D232" s="155"/>
      <c r="E232" s="209"/>
      <c r="F232" s="219" t="str">
        <f>IF(E232="","",IF(E232=1,0.15,IF(E232=3,0.5,IF(E232=5,0.85,0))))</f>
        <v/>
      </c>
      <c r="G232" s="531" t="str">
        <f>IFERROR(AVERAGE(F232:F233),"")</f>
        <v/>
      </c>
      <c r="H232" s="537"/>
      <c r="I232" s="572"/>
      <c r="J232" s="523"/>
      <c r="K232" s="523"/>
      <c r="L232" s="21"/>
    </row>
    <row r="233" spans="1:12" ht="15.75" x14ac:dyDescent="0.25">
      <c r="A233" s="540"/>
      <c r="B233" s="530"/>
      <c r="C233" s="156" t="s">
        <v>420</v>
      </c>
      <c r="D233" s="88"/>
      <c r="E233" s="210"/>
      <c r="F233" s="220" t="str">
        <f>IF(E233="","",IF(E233=1,0.15,IF(E233=3,0.5,IF(E233=5,0.85,0))))</f>
        <v/>
      </c>
      <c r="G233" s="532"/>
      <c r="H233" s="537"/>
      <c r="I233" s="572"/>
      <c r="J233" s="523"/>
      <c r="K233" s="523"/>
      <c r="L233" s="21"/>
    </row>
    <row r="234" spans="1:12" x14ac:dyDescent="0.25">
      <c r="L234" s="21"/>
    </row>
    <row r="235" spans="1:12" x14ac:dyDescent="0.25">
      <c r="L235" s="21"/>
    </row>
    <row r="236" spans="1:12" ht="21" x14ac:dyDescent="0.35">
      <c r="A236" s="188" t="s">
        <v>173</v>
      </c>
      <c r="B236" s="312"/>
      <c r="C236" s="315" t="s">
        <v>395</v>
      </c>
      <c r="D236" s="312"/>
      <c r="E236" s="313"/>
      <c r="F236" s="314"/>
      <c r="G236" s="450" t="s">
        <v>18</v>
      </c>
      <c r="H236" s="451"/>
      <c r="I236" s="451"/>
      <c r="J236" s="451"/>
      <c r="K236" s="452"/>
      <c r="L236" s="21"/>
    </row>
    <row r="237" spans="1:12" ht="15.75" x14ac:dyDescent="0.25">
      <c r="A237" s="176" t="s">
        <v>1</v>
      </c>
      <c r="B237" s="176" t="s">
        <v>2</v>
      </c>
      <c r="C237" s="498" t="s">
        <v>3</v>
      </c>
      <c r="D237" s="573"/>
      <c r="E237" s="176" t="s">
        <v>15</v>
      </c>
      <c r="F237" s="176" t="s">
        <v>16</v>
      </c>
      <c r="G237" s="176" t="s">
        <v>19</v>
      </c>
      <c r="H237" s="176" t="s">
        <v>20</v>
      </c>
      <c r="I237" s="176" t="s">
        <v>20</v>
      </c>
      <c r="J237" s="176" t="s">
        <v>21</v>
      </c>
      <c r="K237" s="60" t="s">
        <v>21</v>
      </c>
    </row>
    <row r="238" spans="1:12" ht="15.75" x14ac:dyDescent="0.25">
      <c r="A238" s="453" t="s">
        <v>68</v>
      </c>
      <c r="B238" s="294" t="s">
        <v>99</v>
      </c>
      <c r="C238" s="62" t="s">
        <v>421</v>
      </c>
      <c r="D238" s="62"/>
      <c r="E238" s="202"/>
      <c r="F238" s="173" t="str">
        <f>IF(E238="","",IF(E238&gt;78,0,IF(E238&lt;30,1,ROUND('Reference Standards'!C$14*E238^2+'Reference Standards'!C$15*E238+'Reference Standards'!C$16,2))))</f>
        <v/>
      </c>
      <c r="G238" s="101" t="str">
        <f>IFERROR(AVERAGE(F238),"")</f>
        <v/>
      </c>
      <c r="H238" s="460" t="str">
        <f>IFERROR(ROUND(AVERAGE(G238:G242),2),"")</f>
        <v/>
      </c>
      <c r="I238" s="572" t="str">
        <f>IF(H238="","",IF(H238&gt;0.69,"Functioning",IF(H238&gt;0.29,"Functioning At Risk",IF(H238&gt;-1,"Not Functioning"))))</f>
        <v/>
      </c>
      <c r="J238" s="523" t="str">
        <f>IF(AND(H238="",H243="",H245="",H264="",H268=""),"",ROUND((IF(H238="",0,H238)*0.2)+(IF(H243="",0,H243)*0.2)+(IF(H245="",0,H245)*0.2)+(IF(H264="",0,H264)*0.2)+(IF(H268="",0,H268)*0.2),2))</f>
        <v/>
      </c>
      <c r="K238" s="523" t="str">
        <f>IF(J238="","",IF(J238&lt;0.3, "Not Functioning",IF(OR(H238&lt;0.7,H243&lt;0.7,H245&lt;0.7,H264&lt;0.7,H268&lt;0.7),"Functioning At Risk",IF(J238&lt;0.7,"Functioning At Risk","Functioning"))))</f>
        <v/>
      </c>
    </row>
    <row r="239" spans="1:12" ht="15.75" x14ac:dyDescent="0.25">
      <c r="A239" s="454"/>
      <c r="B239" s="541" t="s">
        <v>154</v>
      </c>
      <c r="C239" s="170" t="s">
        <v>202</v>
      </c>
      <c r="D239" s="169"/>
      <c r="E239" s="167"/>
      <c r="F239" s="173" t="str">
        <f>IF(E239="","",IF(E239&gt;=1,1,IF(E239&lt;=0,0,ROUND(E239,2))))</f>
        <v/>
      </c>
      <c r="G239" s="544" t="str">
        <f>IFERROR(AVERAGE(F239:F242),"")</f>
        <v/>
      </c>
      <c r="H239" s="461"/>
      <c r="I239" s="572"/>
      <c r="J239" s="523"/>
      <c r="K239" s="523"/>
    </row>
    <row r="240" spans="1:12" ht="15.75" x14ac:dyDescent="0.25">
      <c r="A240" s="454"/>
      <c r="B240" s="542"/>
      <c r="C240" s="171" t="s">
        <v>155</v>
      </c>
      <c r="D240" s="62"/>
      <c r="E240" s="202"/>
      <c r="F240" s="63" t="str">
        <f>IF(E240="","",IF(E240&gt;3,0,IF(E240=0,1,ROUND('Reference Standards'!C$49*E240+'Reference Standards'!C$50,2))))</f>
        <v/>
      </c>
      <c r="G240" s="545"/>
      <c r="H240" s="461"/>
      <c r="I240" s="572"/>
      <c r="J240" s="523"/>
      <c r="K240" s="523"/>
    </row>
    <row r="241" spans="1:13" ht="15.75" x14ac:dyDescent="0.25">
      <c r="A241" s="454"/>
      <c r="B241" s="542"/>
      <c r="C241" s="171" t="s">
        <v>429</v>
      </c>
      <c r="D241" s="62"/>
      <c r="E241" s="202"/>
      <c r="F241" s="63" t="str">
        <f>IF(E241="","",IF(E241&gt;=30,1,ROUND(E241^2*'Reference Standards'!$C$82+E241*'Reference Standards'!$C$83+'Reference Standards'!$C$84,2)))</f>
        <v/>
      </c>
      <c r="G241" s="545"/>
      <c r="H241" s="461"/>
      <c r="I241" s="572"/>
      <c r="J241" s="523"/>
      <c r="K241" s="523"/>
    </row>
    <row r="242" spans="1:13" ht="15.75" x14ac:dyDescent="0.25">
      <c r="A242" s="454"/>
      <c r="B242" s="543"/>
      <c r="C242" s="172" t="s">
        <v>391</v>
      </c>
      <c r="D242" s="64"/>
      <c r="E242" s="203"/>
      <c r="F242" s="168" t="str">
        <f>IF(E242="","",IF('Quantification Tool'!B$16="Sandy",IF(E242&gt;1.94,0,IF(E242&lt;1.45,1,ROUND(E242*'Reference Standards'!$C$118+'Reference Standards'!$C$119,2))),IF('Quantification Tool'!B$16="Silty",IF(E242&gt;1.83,0,IF(E242&lt;1.21,1,ROUND(E242*'Reference Standards'!$D$118+'Reference Standards'!$D$119,2))),IF('Quantification Tool'!B$16="Clayey",IF(E242&gt;1.74,0,IF(E242&lt;0.82,1,ROUND(E242*'Reference Standards'!$E$118+'Reference Standards'!$E$119,2)))))))</f>
        <v/>
      </c>
      <c r="G242" s="546"/>
      <c r="H242" s="461"/>
      <c r="I242" s="572"/>
      <c r="J242" s="523"/>
      <c r="K242" s="523"/>
    </row>
    <row r="243" spans="1:13" ht="15.75" x14ac:dyDescent="0.25">
      <c r="A243" s="547" t="s">
        <v>6</v>
      </c>
      <c r="B243" s="547" t="s">
        <v>7</v>
      </c>
      <c r="C243" s="66" t="s">
        <v>8</v>
      </c>
      <c r="D243" s="66"/>
      <c r="E243" s="202"/>
      <c r="F243" s="67" t="str">
        <f>IF(E243="","",ROUND(IF(E243&gt;1.6,0,IF(E243&lt;=1,1,E243^2*'Reference Standards'!K$14+E243*'Reference Standards'!K$15+'Reference Standards'!K$16)),2))</f>
        <v/>
      </c>
      <c r="G243" s="504" t="str">
        <f>IFERROR(AVERAGE(F243:F244),"")</f>
        <v/>
      </c>
      <c r="H243" s="504" t="str">
        <f>IFERROR(ROUND(AVERAGE(G243),2),"")</f>
        <v/>
      </c>
      <c r="I243" s="574" t="str">
        <f>IF(H243="","",IF(H243&gt;0.69,"Functioning",IF(H243&gt;0.29,"Functioning At Risk",IF(H243&gt;-1,"Not Functioning"))))</f>
        <v/>
      </c>
      <c r="J243" s="523"/>
      <c r="K243" s="523"/>
    </row>
    <row r="244" spans="1:13" ht="15.75" x14ac:dyDescent="0.25">
      <c r="A244" s="549"/>
      <c r="B244" s="548"/>
      <c r="C244" s="66" t="s">
        <v>9</v>
      </c>
      <c r="D244" s="66"/>
      <c r="E244" s="203"/>
      <c r="F244" s="67" t="str">
        <f>IF(E244="","",(IF(OR('Quantification Tool'!B$6="A",'Quantification Tool'!B$6="B",'Quantification Tool'!$B$6="Bc"),IF(E244&lt;1.2,0,IF(E244&gt;=2.2,1,ROUND(IF(E244&lt;1.4,E244*'Reference Standards'!$K$84+'Reference Standards'!$K$85,E244*'Reference Standards'!$L$84+'Reference Standards'!$L$85),2))),IF(OR('Quantification Tool'!B$6="C",'Quantification Tool'!B$6="E"),IF(E244&lt;2,0,IF(E244&gt;=5,1,ROUND(IF(E244&lt;2.4,E244*'Reference Standards'!$L$49+'Reference Standards'!$L$50,E244*'Reference Standards'!$K$49+'Reference Standards'!$K$50),2)))))))</f>
        <v/>
      </c>
      <c r="G244" s="533"/>
      <c r="H244" s="505"/>
      <c r="I244" s="575"/>
      <c r="J244" s="523"/>
      <c r="K244" s="523"/>
    </row>
    <row r="245" spans="1:13" ht="15.75" x14ac:dyDescent="0.25">
      <c r="A245" s="464" t="s">
        <v>27</v>
      </c>
      <c r="B245" s="553" t="s">
        <v>28</v>
      </c>
      <c r="C245" s="74" t="s">
        <v>422</v>
      </c>
      <c r="D245" s="308"/>
      <c r="E245" s="75"/>
      <c r="F245" s="310" t="str">
        <f>IF(E245="","",IF(E245&gt;700,1,IF(E245&lt;300,ROUND('Reference Standards'!$S$14*(E245^2)+'Reference Standards'!$S$15*E245+'Reference Standards'!$S$16,2),ROUND('Reference Standards'!$T$15*E245+'Reference Standards'!$T$16,2))))</f>
        <v/>
      </c>
      <c r="G245" s="506" t="str">
        <f>IFERROR(AVERAGE(F245:F246),"")</f>
        <v/>
      </c>
      <c r="H245" s="534" t="str">
        <f>IFERROR(ROUND(AVERAGE(G245:G263),2),"")</f>
        <v/>
      </c>
      <c r="I245" s="523" t="str">
        <f>IF(H245="","",IF(H245&gt;0.69,"Functioning",IF(H245&gt;0.29,"Functioning At Risk",IF(H245&gt;-1,"Not Functioning"))))</f>
        <v/>
      </c>
      <c r="J245" s="523"/>
      <c r="K245" s="523"/>
    </row>
    <row r="246" spans="1:13" ht="15.75" x14ac:dyDescent="0.25">
      <c r="A246" s="465"/>
      <c r="B246" s="554"/>
      <c r="C246" s="77" t="s">
        <v>394</v>
      </c>
      <c r="D246" s="309"/>
      <c r="E246" s="65"/>
      <c r="F246" s="311" t="str">
        <f>IF(E246="","",IF(E246&gt;=30,1,IF(E246&lt;16,ROUND('Reference Standards'!$S$47*(E246^2)+'Reference Standards'!$S$48*E246+'Reference Standards'!$S$49,2),ROUND('Reference Standards'!$T$48*E246+'Reference Standards'!$T$49,2))))</f>
        <v/>
      </c>
      <c r="G246" s="508"/>
      <c r="H246" s="534"/>
      <c r="I246" s="523"/>
      <c r="J246" s="523"/>
      <c r="K246" s="523"/>
    </row>
    <row r="247" spans="1:13" ht="15.75" x14ac:dyDescent="0.25">
      <c r="A247" s="465"/>
      <c r="B247" s="465" t="s">
        <v>51</v>
      </c>
      <c r="C247" s="71" t="s">
        <v>92</v>
      </c>
      <c r="D247" s="71"/>
      <c r="E247" s="167"/>
      <c r="F247" s="72" t="str">
        <f>IF(E247="","",ROUND(IF(E247&gt;0.7,0,IF(E247&lt;=0.1,1,E247^3*'Reference Standards'!S$81+E247^2*'Reference Standards'!S$82+E247*'Reference Standards'!S$83+'Reference Standards'!S$84)),2))</f>
        <v/>
      </c>
      <c r="G247" s="551" t="str">
        <f>IFERROR(IF(E247="",AVERAGE(F248:F249),IF(E248="",F247,MAX(F247,AVERAGE(F248:F249)))),"")</f>
        <v/>
      </c>
      <c r="H247" s="535"/>
      <c r="I247" s="523"/>
      <c r="J247" s="523"/>
      <c r="K247" s="523"/>
    </row>
    <row r="248" spans="1:13" ht="15.75" x14ac:dyDescent="0.25">
      <c r="A248" s="465"/>
      <c r="B248" s="465"/>
      <c r="C248" s="71" t="s">
        <v>52</v>
      </c>
      <c r="D248" s="71"/>
      <c r="E248" s="202"/>
      <c r="F248" s="72" t="str">
        <f>IF(E248="","",IF(OR(E248="Ex/Ex",E248="Ex/VH"),0, IF(OR(E248="Ex/H",E248="VH/Ex",E248="VH/VH", E248="H/Ex",E248="H/VH",E248="M/Ex"),0.1,IF(OR(E248="Ex/M",E248="VH/H",E248="H/H", E248="M/VH"),0.2, IF(OR(E248="Ex/L",E248="VH/M",E248="H/M", E248="M/H",E248="L/Ex"),0.3, IF(OR(E248="Ex/VL",E248="VH/L",E248="H/L"),0.4, IF(OR(E248="VH/VL",E248="H/VL",E248="M/M", E248="L/VH"),0.5, IF(OR(E248="M/L",E248="L/H"),0.6, IF(OR(E248="M/VL",E248="L/M"),0.7, IF(OR(E248="L/L",E248="L/VL"),1))))))))))</f>
        <v/>
      </c>
      <c r="G248" s="551"/>
      <c r="H248" s="535"/>
      <c r="I248" s="523"/>
      <c r="J248" s="523"/>
      <c r="K248" s="523"/>
    </row>
    <row r="249" spans="1:13" ht="15.75" x14ac:dyDescent="0.25">
      <c r="A249" s="465"/>
      <c r="B249" s="466"/>
      <c r="C249" s="73" t="s">
        <v>102</v>
      </c>
      <c r="D249" s="73"/>
      <c r="E249" s="203"/>
      <c r="F249" s="80" t="str">
        <f>IF(E249="","",ROUND(IF(E249&gt;40,0,IF(E249&lt;5,1,E249^3*'Reference Standards'!S$116+E249^2*'Reference Standards'!S$117+E249*'Reference Standards'!S$118+'Reference Standards'!S$119)),2))</f>
        <v/>
      </c>
      <c r="G249" s="551"/>
      <c r="H249" s="535"/>
      <c r="I249" s="523"/>
      <c r="J249" s="523"/>
      <c r="K249" s="523"/>
    </row>
    <row r="250" spans="1:13" ht="15.75" x14ac:dyDescent="0.25">
      <c r="A250" s="465"/>
      <c r="B250" s="465" t="s">
        <v>53</v>
      </c>
      <c r="C250" s="74" t="s">
        <v>120</v>
      </c>
      <c r="D250" s="78"/>
      <c r="E250" s="167"/>
      <c r="F250" s="90" t="str">
        <f>IF(E250="","",ROUND(IF(E250&gt;90,1,E250^2*'Reference Standards'!S$151+E250*'Reference Standards'!S$152+'Reference Standards'!S$153),2))</f>
        <v/>
      </c>
      <c r="G250" s="550" t="str">
        <f>IFERROR(ROUND(AVERAGE(F250:F257),2),"")</f>
        <v/>
      </c>
      <c r="H250" s="535"/>
      <c r="I250" s="523"/>
      <c r="J250" s="523"/>
      <c r="K250" s="523"/>
    </row>
    <row r="251" spans="1:13" ht="15.75" x14ac:dyDescent="0.25">
      <c r="A251" s="465"/>
      <c r="B251" s="465"/>
      <c r="C251" s="76" t="s">
        <v>121</v>
      </c>
      <c r="D251" s="71"/>
      <c r="E251" s="202"/>
      <c r="F251" s="72" t="str">
        <f>IF(E251="","",ROUND(IF(E251&gt;90,1,E251^2*'Reference Standards'!S$151+E251*'Reference Standards'!S$152+'Reference Standards'!S$153),2))</f>
        <v/>
      </c>
      <c r="G251" s="551"/>
      <c r="H251" s="535"/>
      <c r="I251" s="523"/>
      <c r="J251" s="523"/>
      <c r="K251" s="523"/>
    </row>
    <row r="252" spans="1:13" ht="15.75" x14ac:dyDescent="0.25">
      <c r="A252" s="465"/>
      <c r="B252" s="465"/>
      <c r="C252" s="76" t="s">
        <v>430</v>
      </c>
      <c r="D252" s="71"/>
      <c r="E252" s="202"/>
      <c r="F252" s="72" t="str">
        <f>IF(E252="","",ROUND(IF(OR('Quantification Tool'!B$6="A",'Quantification Tool'!B$6="B",'Quantification Tool'!B$6="Bc"),IF(E252&gt;=50,1, IF(E252&lt;30, E252*'Reference Standards'!#REF!+'Reference Standards'!#REF!, E252*'Reference Standards'!#REF!+'Reference Standards'!#REF!)), IF(E252&gt;=150,1,IF(E252&lt;48, E252^2*'Reference Standards'!S$220+E252*'Reference Standards'!S$221+'Reference Standards'!S$222, E252*'Reference Standards'!T$220+'Reference Standards'!T$221))),2))</f>
        <v/>
      </c>
      <c r="G252" s="551"/>
      <c r="H252" s="535"/>
      <c r="I252" s="523"/>
      <c r="J252" s="523"/>
      <c r="K252" s="523"/>
    </row>
    <row r="253" spans="1:13" ht="15.75" x14ac:dyDescent="0.25">
      <c r="A253" s="465"/>
      <c r="B253" s="465"/>
      <c r="C253" s="76" t="s">
        <v>431</v>
      </c>
      <c r="D253" s="71"/>
      <c r="E253" s="202"/>
      <c r="F253" s="72" t="str">
        <f>IF(E253="","",ROUND(IF(OR('Quantification Tool'!B$6="A",'Quantification Tool'!B$6="B",'Quantification Tool'!B$6="Bc"),IF(E253&gt;=50,1, IF(E253&lt;30, E253*'Reference Standards'!#REF!+'Reference Standards'!#REF!, E253*'Reference Standards'!#REF!+'Reference Standards'!#REF!)), IF(E253&gt;=150,1,IF(E253&lt;45, E253^2*'Reference Standards'!S$220+E253*'Reference Standards'!S$221+'Reference Standards'!S$222, E253*'Reference Standards'!T$220+'Reference Standards'!T$221))),2))</f>
        <v/>
      </c>
      <c r="G253" s="551"/>
      <c r="H253" s="535"/>
      <c r="I253" s="523"/>
      <c r="J253" s="523"/>
      <c r="K253" s="523"/>
    </row>
    <row r="254" spans="1:13" ht="15.75" x14ac:dyDescent="0.25">
      <c r="A254" s="465"/>
      <c r="B254" s="465"/>
      <c r="C254" s="71" t="s">
        <v>128</v>
      </c>
      <c r="D254" s="71"/>
      <c r="E254" s="202"/>
      <c r="F254" s="72" t="str">
        <f>IF(E254="","",ROUND(IF(E254&gt;100,1,E254^2*'Reference Standards'!S$185+E254*'Reference Standards'!S$186+'Reference Standards'!S$187),2))</f>
        <v/>
      </c>
      <c r="G254" s="551"/>
      <c r="H254" s="535"/>
      <c r="I254" s="523"/>
      <c r="J254" s="523"/>
      <c r="K254" s="523"/>
    </row>
    <row r="255" spans="1:13" ht="15.75" x14ac:dyDescent="0.25">
      <c r="A255" s="465"/>
      <c r="B255" s="465"/>
      <c r="C255" s="71" t="s">
        <v>129</v>
      </c>
      <c r="D255" s="71"/>
      <c r="E255" s="202"/>
      <c r="F255" s="72" t="str">
        <f>IF(E255="","",ROUND(IF(E255&gt;100,1,E255^2*'Reference Standards'!S$185+E255*'Reference Standards'!S$186+'Reference Standards'!S$187),2))</f>
        <v/>
      </c>
      <c r="G255" s="551"/>
      <c r="H255" s="535"/>
      <c r="I255" s="523"/>
      <c r="J255" s="523"/>
      <c r="K255" s="523"/>
    </row>
    <row r="256" spans="1:13" ht="15.75" x14ac:dyDescent="0.25">
      <c r="A256" s="465"/>
      <c r="B256" s="465"/>
      <c r="C256" s="76" t="s">
        <v>165</v>
      </c>
      <c r="D256" s="71"/>
      <c r="E256" s="202"/>
      <c r="F256" s="72" t="str">
        <f>IF(E256="","",ROUND(IF(E256&gt;=300,0.5,E256*'Reference Standards'!S$253),2))</f>
        <v/>
      </c>
      <c r="G256" s="551"/>
      <c r="H256" s="535"/>
      <c r="I256" s="523"/>
      <c r="J256" s="523"/>
      <c r="K256" s="523"/>
      <c r="M256" s="21"/>
    </row>
    <row r="257" spans="1:12" ht="15.75" x14ac:dyDescent="0.25">
      <c r="A257" s="465"/>
      <c r="B257" s="466"/>
      <c r="C257" s="77" t="s">
        <v>166</v>
      </c>
      <c r="D257" s="79"/>
      <c r="E257" s="202"/>
      <c r="F257" s="72" t="str">
        <f>IF(E257="","",ROUND(IF(E257&gt;=300,0.5,E257*'Reference Standards'!S$253),2))</f>
        <v/>
      </c>
      <c r="G257" s="552"/>
      <c r="H257" s="535"/>
      <c r="I257" s="523"/>
      <c r="J257" s="523"/>
      <c r="K257" s="523"/>
    </row>
    <row r="258" spans="1:12" ht="15.75" x14ac:dyDescent="0.25">
      <c r="A258" s="465"/>
      <c r="B258" s="69" t="s">
        <v>130</v>
      </c>
      <c r="C258" s="89" t="s">
        <v>168</v>
      </c>
      <c r="D258" s="71"/>
      <c r="E258" s="53"/>
      <c r="F258" s="234" t="str">
        <f>IF(E258="","",IF('Quantification Tool'!B$9="Gravel",IF(E258&gt;0.1,1,IF(E258&lt;=0.01,0,ROUND(E258*'Reference Standards'!$S$289+'Reference Standards'!$S$290,2)))))</f>
        <v/>
      </c>
      <c r="G258" s="100" t="str">
        <f>IFERROR(AVERAGE(F258),"")</f>
        <v/>
      </c>
      <c r="H258" s="535"/>
      <c r="I258" s="523"/>
      <c r="J258" s="523"/>
      <c r="K258" s="523"/>
    </row>
    <row r="259" spans="1:12" ht="15.75" x14ac:dyDescent="0.25">
      <c r="A259" s="465"/>
      <c r="B259" s="464" t="s">
        <v>54</v>
      </c>
      <c r="C259" s="78" t="s">
        <v>55</v>
      </c>
      <c r="D259" s="78"/>
      <c r="E259" s="209"/>
      <c r="F259" s="299" t="str">
        <f>IF(E259="","",   IF(AND('Quantification Tool'!$B$6="E",'Quantification Tool'!$B$9="Gravel"),ROUND(IF(OR(E259&lt;=2.3,E259&gt;=10.1),0,IF(E259&lt;4,E259*'Reference Standards'!$S$325+'Reference Standards'!$S$326,IF(E259&lt;=7.5,1,E259*'Reference Standards'!$T$325+'Reference Standards'!$T$326))),2),    IF(AND('Quantification Tool'!$B$6="E",'Quantification Tool'!$B$9="Sand"),ROUND(IF(OR(E259&lt;3,E259&gt;6.7),0,IF(E259&lt;=5,1,E259*'Reference Standards'!$S$357+'Reference Standards'!$S$358)),2),    IF(AND('Quantification Tool'!$B$6="C",OR('Quantification Tool'!$B$9="Gravel",'Quantification Tool'!$B$9="Sand")),ROUND(IF(OR(E259&lt;=2.3,E259&gt;=8.1),0,IF(E259&lt;4,E259*'Reference Standards'!$S$391+'Reference Standards'!$S$392,IF(E259&lt;=5.5,1,E259*'Reference Standards'!$T$391+'Reference Standards'!$T$392))),2), IF(AND(OR('Quantification Tool'!$B$6="Bc",'Quantification Tool'!$B$6="B"),'Quantification Tool'!$B$9="Gravel"),ROUND(IF(E259&gt;=7.1,0,IF(E259&gt;4.5,E259*'Reference Standards'!$S$423+'Reference Standards'!$S$424,1)),2))))))</f>
        <v/>
      </c>
      <c r="G259" s="506" t="str">
        <f>IFERROR(AVERAGE(F259:F262),"")</f>
        <v/>
      </c>
      <c r="H259" s="535"/>
      <c r="I259" s="523"/>
      <c r="J259" s="523"/>
      <c r="K259" s="523"/>
    </row>
    <row r="260" spans="1:12" ht="15.75" x14ac:dyDescent="0.25">
      <c r="A260" s="465"/>
      <c r="B260" s="465"/>
      <c r="C260" s="71" t="s">
        <v>56</v>
      </c>
      <c r="D260" s="71"/>
      <c r="E260" s="208"/>
      <c r="F260" s="300" t="str">
        <f>IF(E260="","",IF(E260&lt;1.25,0,IF(E260&gt;=2.8,1,IF(AND(OR('Quantification Tool'!B$6="B", 'Quantification Tool'!B$6="Bc"),'Quantification Tool'!$B$9="Gravel"),ROUND(E260^2*'Reference Standards'!S$489+E260*'Reference Standards'!S$490+'Reference Standards'!S$491,2), IF(AND(OR('Quantification Tool'!B$6="C", 'Quantification Tool'!B$6="E"),OR('Quantification Tool'!$B$9="Gravel",'Quantification Tool'!$B$9="Sand")), ROUND(IF(E260&lt;=1.7,E260*'Reference Standards'!$S$457+'Reference Standards'!$S$458,E260*'Reference Standards'!$T$457+'Reference Standards'!$T$458),2)    )))))</f>
        <v/>
      </c>
      <c r="G260" s="507"/>
      <c r="H260" s="535"/>
      <c r="I260" s="523"/>
      <c r="J260" s="523"/>
      <c r="K260" s="523"/>
    </row>
    <row r="261" spans="1:12" ht="15.75" x14ac:dyDescent="0.25">
      <c r="A261" s="465"/>
      <c r="B261" s="465"/>
      <c r="C261" s="71" t="s">
        <v>423</v>
      </c>
      <c r="D261" s="71"/>
      <c r="E261" s="208"/>
      <c r="F261" s="296" t="str">
        <f>IF(E261="","",IF(AND('Quantification Tool'!$B$6="E",OR('Quantification Tool'!$B$9="Sand",'Quantification Tool'!$B$9="Gravel")), IF(OR(E261&lt;20,E261&gt;73),0,ROUND(IF(E261&lt;25,E261*'Reference Standards'!$S$526+'Reference Standards'!$S$527,IF(E261&lt;35,1,E261^2*'Reference Standards'!$T$525+E261*'Reference Standards'!$T$526+'Reference Standards'!$T$527)),2)),  IF(AND('Quantification Tool'!$B$6="C",OR('Quantification Tool'!$B$9="Sand",'Quantification Tool'!$B$9="Gravel")), IF(OR(E261&lt;19,E261&gt;63),0,ROUND(IF(E261&lt;43,E261*'Reference Standards'!$S$560+'Reference Standards'!$S$561,IF(E261&lt;52,1,E261*'Reference Standards'!$T$560+'Reference Standards'!$T$561)),2)),IF(AND(OR('Quantification Tool'!$B$6="B",'Quantification Tool'!$B$6="Bc"),'Quantification Tool'!$B$9="Gravel"), IF(OR(E261&lt;18,E261&gt;82),0,ROUND(IF(E261&lt;30,E261^2*'Reference Standards'!$S$594+E261*'Reference Standards'!$S$595+'Reference Standards'!$S$596,IF(E261&lt;41,1,E261*'Reference Standards'!$T$595+'Reference Standards'!$T$596)),2))   ))))</f>
        <v/>
      </c>
      <c r="G261" s="507"/>
      <c r="H261" s="535"/>
      <c r="I261" s="523"/>
      <c r="J261" s="523"/>
      <c r="K261" s="523"/>
    </row>
    <row r="262" spans="1:12" ht="15.75" x14ac:dyDescent="0.25">
      <c r="A262" s="465"/>
      <c r="B262" s="466"/>
      <c r="C262" s="76" t="s">
        <v>254</v>
      </c>
      <c r="D262" s="71"/>
      <c r="E262" s="210"/>
      <c r="F262" s="297" t="str">
        <f>IF(E262="","",IF(E262&gt;=1.6,0,IF(E262&lt;=1,1,ROUND('Reference Standards'!$S$626*E262^3+'Reference Standards'!$S$627*E262^2+'Reference Standards'!$S$628*E262+'Reference Standards'!$S$629,2))))</f>
        <v/>
      </c>
      <c r="G262" s="508"/>
      <c r="H262" s="535"/>
      <c r="I262" s="523"/>
      <c r="J262" s="523"/>
      <c r="K262" s="523"/>
    </row>
    <row r="263" spans="1:12" ht="15.75" x14ac:dyDescent="0.25">
      <c r="A263" s="466"/>
      <c r="B263" s="292" t="s">
        <v>58</v>
      </c>
      <c r="C263" s="305" t="s">
        <v>57</v>
      </c>
      <c r="D263" s="306"/>
      <c r="E263" s="203"/>
      <c r="F263" s="80" t="str">
        <f>IF(E263="","",IF(AND('Quantification Tool'!B$6="E",'Quantification Tool'!$B$9="Sand",'Quantification Tool'!$B$17="Unconfined Alluvial"),ROUND(IF(OR(E263&gt;1.8,E263&lt;1.3),0,IF(E263&lt;=1.6,1,E263*'Reference Standards'!S$660+'Reference Standards'!S$661)),2),    IF('Quantification Tool'!$B$17="Unconfined Alluvial",ROUND(IF(OR(E263&lt;1.2, E263&gt;1.5),0,IF(E263&lt;=1.4,1,E263*'Reference Standards'!$S$693+'Reference Standards'!$S$694)),2), IF('Quantification Tool'!$B$17="Confined Alluvial",ROUND(IF(E263&lt;1.15,0,IF(E263&lt;=1.4,E263*'Reference Standards'!$S$722+'Reference Standards'!$S$723,1)),2),  IF('Quantification Tool'!$B$17="Colluvial",ROUND(IF(E263&gt;1.3,0,IF(E263&gt;1.2,E263*'Reference Standards'!$S$753+'Reference Standards'!$S$754,1)),2) )))))</f>
        <v/>
      </c>
      <c r="G263" s="102" t="str">
        <f>IFERROR(AVERAGE(F263),"")</f>
        <v/>
      </c>
      <c r="H263" s="535"/>
      <c r="I263" s="523"/>
      <c r="J263" s="523"/>
      <c r="K263" s="523"/>
      <c r="L263" s="13"/>
    </row>
    <row r="264" spans="1:12" ht="15.75" x14ac:dyDescent="0.25">
      <c r="A264" s="527" t="s">
        <v>61</v>
      </c>
      <c r="B264" s="83" t="s">
        <v>103</v>
      </c>
      <c r="C264" s="87" t="s">
        <v>427</v>
      </c>
      <c r="D264" s="87"/>
      <c r="E264" s="53"/>
      <c r="F264" s="82" t="str">
        <f>IF(E264="","",ROUND(IF(E264&gt;=942,0,IF(E264&lt;=487,E264*'Reference Standards'!AB$15+'Reference Standards'!AB$16,E264*'Reference Standards'!$AC$15+'Reference Standards'!$AC$16)),2))</f>
        <v/>
      </c>
      <c r="G264" s="103" t="str">
        <f>IFERROR(AVERAGE(F264),"")</f>
        <v/>
      </c>
      <c r="H264" s="555" t="str">
        <f>IFERROR(ROUND(AVERAGE(G264:G267),2),"")</f>
        <v/>
      </c>
      <c r="I264" s="569" t="str">
        <f>IF(H264="","",IF(H264&gt;0.69,"Functioning",IF(H264&gt;0.29,"Functioning At Risk",IF(H264&gt;-1,"Not Functioning"))))</f>
        <v/>
      </c>
      <c r="J264" s="523"/>
      <c r="K264" s="523"/>
      <c r="L264" s="13"/>
    </row>
    <row r="265" spans="1:12" ht="15.75" x14ac:dyDescent="0.25">
      <c r="A265" s="528"/>
      <c r="B265" s="399" t="s">
        <v>476</v>
      </c>
      <c r="C265" s="81" t="s">
        <v>457</v>
      </c>
      <c r="D265" s="81"/>
      <c r="E265" s="203"/>
      <c r="F265" s="85" t="str">
        <f>IF(E265="","",IF(OR('Quantification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June")),IF(E265&gt;93,0,IF(E265&lt;13,1,ROUND('Reference Standards'!$AB$53*E265^2+'Reference Standards'!$AB$54*E265+'Reference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Tool'!$B$7="73b"),IF(E265&gt;94,0,IF(E265&lt;17,1,ROUND('Reference Standards'!$AC$53*E265^2+'Reference Standards'!$AC$54*E265+'Reference Standards'!$AC$55,2))),    IF(OR(AND(OR('Quantification Tool'!$B$7="68b",'Quantification Tool'!$B$7="71i"),'Quantification Tool'!$B$8&gt;2), 'Quantification Tool'!$B$7="71e"),IF(E265&gt;91,0,IF(E265&lt;24,1,ROUND('Reference Standards'!$AD$53*E265^2+'Reference Standards'!$AD$54*E265+'Reference Standards'!$AD$55,2))),  IF(OR(AND(OR('Quantification Tool'!$B$7="71f",'Quantification Tool'!$B$7="71g",'Quantification Tool'!$B$7="71h",'Quantification Tool'!$B$7="71i"),'Quantification Tool'!$B$8&lt;=2), AND('Quantification Tool'!$B$7="74a",'Quantification Tool'!$B$8&gt;2)),IF(E265&gt;95,0,IF(E265&lt;=36,1,ROUND('Reference Standards'!$AE$53*E265^2+'Reference Standards'!$AE$54*E265+'Reference Standards'!$AE$55,2))))))))</f>
        <v/>
      </c>
      <c r="G265" s="295" t="str">
        <f>IFERROR(AVERAGE(F265:F265),"")</f>
        <v/>
      </c>
      <c r="H265" s="556"/>
      <c r="I265" s="570"/>
      <c r="J265" s="523"/>
      <c r="K265" s="523"/>
      <c r="L265" s="21"/>
    </row>
    <row r="266" spans="1:12" ht="15.75" x14ac:dyDescent="0.25">
      <c r="A266" s="528"/>
      <c r="B266" s="83" t="s">
        <v>93</v>
      </c>
      <c r="C266" s="84" t="s">
        <v>326</v>
      </c>
      <c r="D266" s="84"/>
      <c r="E266" s="202"/>
      <c r="F266" s="85" t="str">
        <f>IF(E266="","",IF(OR('Quantification Tool'!$B$7="66e",'Quantification Tool'!$B$7="66f",'Quantification Tool'!$B$7="66g"), ROUND(IF(E266&gt;=0.61,0,IF(E266&lt;=0.01,1,IF(E266&lt;=0.06,E266*'Reference Standards'!$AD$197+'Reference Standards'!$AD$198,E266^2*'Reference Standards'!$AB$196+E266*'Reference Standards'!$AB$197+'Reference Standards'!$AB$198))),2),  IF('Quantification Tool'!$B$7="68b", ROUND(IF(E266&gt;=1.1,0,IF(E266&lt;=0.17,1,IF(E266&lt;=0.22,E266*'Reference Standards'!$AE$197+'Reference Standards'!$AE$198,E266^2*'Reference Standards'!$AC$196+E266*'Reference Standards'!$AC$197+'Reference Standards'!$AC$198))),2),IF('Quantification Tool'!$B$8&lt;=2.5,   IF('Quantification Tool'!$B$7="69de",ROUND(IF(E266&gt;=0.22,0,IF(E266&lt;=0.01,1,E266^2*'Reference Standards'!$AB$90+E266*'Reference Standards'!$AB$91+'Reference Standards'!$AB$92)),2),   IF('Quantification Tool'!$B$7="68c",ROUND(IF(E266&gt;=0.87,0,IF(E266&lt;=0.01,1,E266^2*'Reference Standards'!$AC$90+E266*'Reference Standards'!$AC$91+'Reference Standards'!$AC$92)),2),   IF('Quantification Tool'!$B$7="68a",ROUND(IF(E266&gt;=0.81,0,IF(E266&lt;=0.01,1,E266^2*'Reference Standards'!$AD$90+E266*'Reference Standards'!$AD$91+'Reference Standards'!$AD$92)),2),   IF('Quantification Tool'!$B$7="65abei",ROUND(IF(E266&gt;=0.67,0,IF(E266&lt;=0.01,1,IF(E266&lt;=0.18,E266*'Reference Standards'!$AG$91+'Reference Standards'!$AG$92,E266*'Reference Standards'!$AE$91+'Reference Standards'!$AE$92))),2),   IF('Quantification Tool'!$B$7="65j",ROUND(IF(E266&gt;=0.32,0,IF(E266&lt;=0.01,1,IF(E266&lt;=0.25,E266*'Reference Standards'!$AH$91+'Reference Standards'!$AH$92,E266*'Reference Standards'!$AF$91+'Reference Standards'!$AF$92))),2),   IF('Quantification Tool'!$B$7="71f",ROUND(IF(E266&gt;=3,0,IF(E266&lt;=0,1,IF(E266&lt;=0.01,0.7,E266^2*'Reference Standards'!$AB$126+E266*'Reference Standards'!$AB$127+'Reference Standards'!$AB$128))),2),   IF('Quantification Tool'!$B$7="74a",ROUND(IF(E266&gt;=0.14,0,IF(E266&lt;=0.01,1,IF(E266&lt;=0.02,0.7,E266^2*'Reference Standards'!$AC$126+E266*'Reference Standards'!$AC$127+'Reference Standards'!$AC$128))),2),   IF(OR('Quantification Tool'!$B$7="67fhi",'Quantification Tool'!$B$7="67g"),ROUND(IF(E266&gt;=1.9,0,IF(E266&lt;=0.01,1,IF(E266&lt;=0.05,E266*'Reference Standards'!$AF$127+'Reference Standards'!$AF$128,E266^2*'Reference Standards'!$AD$126+E266*'Reference Standards'!$AD$127+'Reference Standards'!$AD$128))),2),   IF('Quantification Tool'!$B$7="73a",ROUND(IF(E266&gt;=1.44,0,IF(E266&lt;=0.01,1,IF(E266&lt;=0.12,E266*'Reference Standards'!$AG$127+'Reference Standards'!$AG$128,E266^2*'Reference Standards'!$AE$126+E266*'Reference Standards'!$AE$127+'Reference Standards'!$AE$128))),2),   IF('Quantification Tool'!$B$7="66d",ROUND(IF(E266&gt;=0.46,0,IF(E266&lt;=0.02,1,IF(E266&lt;=0.08,E266*'Reference Standards'!$AF$163+'Reference Standards'!$AF$164,E266^2*'Reference Standards'!$AB$162+E266*'Reference Standards'!$AB$163+'Reference Standards'!$AB$164))),2),   IF(OR('Quantification Tool'!$B$7="71g",'Quantification Tool'!$B$7="71h",'Quantification Tool'!$B$7="71i"),ROUND(IF(E266&gt;=3,0,IF(E266&lt;=0.06,1,IF(E266&lt;=0.24,E266*'Reference Standards'!$AG$163+'Reference Standards'!$AG$164, E266^2*'Reference Standards'!$AC$162+E266*'Reference Standards'!$AC$163+'Reference Standards'!$AC$164))),2),   IF('Quantification Tool'!$B$7="74b",ROUND(IF(E266&gt;=1.3,0,IF(E266&lt;=0.29,1,IF(E266&lt;=0.48,E266*'Reference Standards'!$AH$163+'Reference Standards'!$AH$164,E266^2*'Reference Standards'!$AD$162+E266*'Reference Standards'!$AD$163+'Reference Standards'!$AD$164))),2),   IF('Quantification Tool'!$B$7="71e",ROUND(IF(E266&gt;=4.3,0,IF(E266&lt;=0.53,1,IF(E266&lt;=0.67,E266*'Reference Standards'!$AI$163+'Reference Standards'!$AI$164,E266^2*'Reference Standards'!$AE$162+E266*'Reference Standards'!$AE$163+'Reference Standards'!$AE$164))),2)       ))))))))))))),IF('Quantification Tool'!$B$8&gt;2.5,    IF('Quantification Tool'!$B$7="73a",ROUND(IF(E266&gt;=0.55,0,IF(E266&lt;=0,1,E266^2*'Reference Standards'!$AB$232+E266*'Reference Standards'!$AB$233+'Reference Standards'!$AB$234)),2),   IF('Quantification Tool'!$B$7="68a",ROUND(IF(E266&gt;=0.54,0,IF(E266&lt;=0,1, IF(E266&lt;=0.01,0.85, E266^2*'Reference Standards'!$AC$232+E266*'Reference Standards'!$AC$233+'Reference Standards'!$AC$234))),2),   IF('Quantification Tool'!$B$7="74a",ROUND(IF(E266&gt;=0.47,0,IF(E266&lt;=0.01,1, IF(E266&lt;=0.02,0.7, E266^2*'Reference Standards'!$AD$232+E266*'Reference Standards'!$AD$233+'Reference Standards'!$AD$234))),2),    IF('Quantification Tool'!$B$7="69de",ROUND(IF(E266&gt;=0.26,0,IF(E266&lt;=0.01,1, IF(E266&lt;=0.02,0.85, E266^2*'Reference Standards'!$AE$232+E266*'Reference Standards'!$AE$233+'Reference Standards'!$AE$234))),2),   IF('Quantification Tool'!$B$7="71f",ROUND(IF(E266&gt;=0.87,0,IF(E266&lt;=0.01,1,IF(E266&lt;=0.04,E266*'Reference Standards'!$AF$269+'Reference Standards'!$AF$270,E266^2*'Reference Standards'!$AB$268+E266*'Reference Standards'!$AB$269+'Reference Standards'!$AB$270))),2),  IF('Quantification Tool'!$B$7="65abei",ROUND(IF(E266&gt;=0.82,0,IF(E266&lt;=0.01,1,IF(E266&lt;=0.06,E266*'Reference Standards'!$AG$269+'Reference Standards'!$AG$270,E266^2*'Reference Standards'!$AC$268+E266*'Reference Standards'!$AC$269+'Reference Standards'!$AC$270))),2),  IF('Quantification Tool'!$B$7="65j",ROUND(IF(E266&gt;=0.33,0,IF(E266&lt;=0.03,1,IF(E266&lt;=0.09,E266*'Reference Standards'!$AH$269+'Reference Standards'!$AH$270,E266^2*'Reference Standards'!$AD$268+E266*'Reference Standards'!$AD$269+'Reference Standards'!$AD$270))),2),  IF('Quantification Tool'!$B$7="68c",ROUND(IF(E266&gt;=0.7,0,IF(E266&lt;=0.07,1,IF(E266&lt;=0.12,E266*'Reference Standards'!$AI$269+'Reference Standards'!$AI$270,E266^2*'Reference Standards'!$AE$268+E266*'Reference Standards'!$AE$269+'Reference Standards'!$AE$270))),2),   IF(OR('Quantification Tool'!$B$7="67fhi",'Quantification Tool'!$B$7="67g"),ROUND(IF(E266&gt;=1.8,0,IF(E266&lt;=0.08,1,IF(E266&lt;=0.2,E266*'Reference Standards'!$AF$306+'Reference Standards'!$AF$307,E266^2*'Reference Standards'!$AB$305+E266*'Reference Standards'!$AB$306+'Reference Standards'!$AB$307))),2),   IF('Quantification Tool'!$B$7="74b",ROUND(IF(E266&gt;=0.96,0,IF(E266&lt;=0.12,1,IF(E266&lt;=0.16,E266*'Reference Standards'!$AG$306+'Reference Standards'!$AG$307,E266^2*'Reference Standards'!$AC$305+E266*'Reference Standards'!$AC$306+'Reference Standards'!$AC$307))),2),   IF('Quantification Tool'!$B$7="66d",ROUND(IF(E266&gt;=0.75,0,IF(E266&lt;=0.13,1,IF(E266&lt;=0.2,E266*'Reference Standards'!$AH$306+'Reference Standards'!$AH$307,E266^2*'Reference Standards'!$AD$305+E266*'Reference Standards'!$AD$306+'Reference Standards'!$AD$307))),2),    IF(OR('Quantification Tool'!$B$7="71g",'Quantification Tool'!$B$7="71h",'Quantification Tool'!$B$7="71i"),ROUND(IF(E266&gt;=1.68,0,IF(E266&lt;=0.08,1,IF(E266&lt;=0.23,E266*'Reference Standards'!$AI$306+'Reference Standards'!$AI$307,E266^2*'Reference Standards'!$AE$305+E266*'Reference Standards'!$AE$306+'Reference Standards'!$AE$307))),2),   IF('Quantification Tool'!$B$7="71e",ROUND(IF(E266&gt;=5.3,0,IF(E266&lt;=0.94,1,IF(E266&lt;=1.4,E266*'Reference Standards'!$AF$310+'Reference Standards'!$AF$311,E266^2*'Reference Standards'!$AB$309+E266*'Reference Standards'!$AB$310+'Reference Standards'!$AB$311))),2))    )))))))))))))))))</f>
        <v/>
      </c>
      <c r="G266" s="104" t="str">
        <f>IFERROR(AVERAGE(F266),"")</f>
        <v/>
      </c>
      <c r="H266" s="556"/>
      <c r="I266" s="570"/>
      <c r="J266" s="523"/>
      <c r="K266" s="523"/>
      <c r="L266" s="21"/>
    </row>
    <row r="267" spans="1:12" ht="15.75" x14ac:dyDescent="0.25">
      <c r="A267" s="529"/>
      <c r="B267" s="293" t="s">
        <v>94</v>
      </c>
      <c r="C267" s="81" t="s">
        <v>325</v>
      </c>
      <c r="D267" s="81"/>
      <c r="E267" s="167"/>
      <c r="F267" s="82" t="str">
        <f>IF(E267="","",IF('Quantification Tool'!$B$8&gt;2.5,IF(OR('Quantification Tool'!$B$7="71h",'Quantification Tool'!$B$7="71i",'Quantification Tool'!$B$7="73a",'Quantification Tool'!$B$7="74a"),IF(E267&lt;=0.01,1,IF(OR('Quantification Tool'!$B$7="71h",'Quantification Tool'!$B$7="71i"),IF(E267&gt;0.37,0,ROUND(IF(E267&gt;0.03,'Reference Standards'!$AB$425*E267^2+'Reference Standards'!$AB$426*E267+'Reference Standards'!$AB$427,'Reference Standards'!$AF$426*E267+'Reference Standards'!$AF$427),2)),  IF('Quantification Tool'!$B$7="73a",IF(E267&gt;0.405,0,ROUND(IF(E267&gt;0.046,'Reference Standards'!$AC$425*E267^2+'Reference Standards'!$AC$426*E267+'Reference Standards'!$AC$427,'Reference Standards'!$AG$426*E267+'Reference Standards'!$AG$427),2)),IF('Quantification Tool'!$B$7="74a",IF(E267&gt;0.3,0,ROUND(IF(E267&gt;0.052,'Reference Standards'!$AD$425*E267^2+'Reference Standards'!$AD$426*E267+'Reference Standards'!$AD$427,'Reference Standards'!$AH$426*E267+'Reference Standards'!$AH$427),2)))))),   IF(E267&lt;=0.002,1,IF(OR('Quantification Tool'!$B$7="66d",'Quantification Tool'!$B$7="66e",'Quantification Tool'!$B$7="66g"),IF(E267&gt;0.053,0,ROUND(E267^2*'Reference Standards'!$AB$347+E267*'Reference Standards'!$AB$348+'Reference Standards'!$AB$349,2)), IF('Quantification Tool'!$B$7="68b",IF(E267&gt;0.05,0,ROUND(E267^2*'Reference Standards'!$AC$347+E267*'Reference Standards'!$AC$348+'Reference Standards'!$AC$349,2)),  IF(OR('Quantification Tool'!$B$7="68a",'Quantification Tool'!$B$7="68c"),IF(E267&gt;0.07,0,ROUND(E267^2*'Reference Standards'!$AD$347+E267*'Reference Standards'!$AD$348+'Reference Standards'!$AD$349,2)), IF(OR('Quantification Tool'!$B$7="71f",'Quantification Tool'!$B$7="71g"),IF(E267&gt;0.13,0,ROUND(IF(E267&gt;0.042,E267*'Reference Standards'!$AE$348+'Reference Standards'!$AE$349,E267*'Reference Standards'!$AF$348+'Reference Standards'!$AF$349),2)), IF('Quantification Tool'!$B$7="67fhi",IF(E267&gt;0.16,0,ROUND(E267^2*'Reference Standards'!$AG$347+E267*'Reference Standards'!$AG$348+'Reference Standards'!$AG$349,2)),  IF('Quantification Tool'!$B$7="65j",IF(E267&gt;0.035,0,ROUND(IF(E267&lt;=0.003,0.7,E267^2*'Reference Standards'!$AB$387+E267*'Reference Standards'!$AB$388+'Reference Standards'!$AB$389),2)),IF('Quantification Tool'!$B$7="69de",IF(E267&gt;0.037,0,ROUND(IF(E267&lt;=0.003,0.7,E267^2*'Reference Standards'!$AC$387+E267*'Reference Standards'!$AC$388+'Reference Standards'!$AC$389),2)),IF('Quantification Tool'!$B$7="71e",IF(E267&gt;0.23,0,ROUND(IF(E267&lt;=0.003,0.7,E267^2*'Reference Standards'!$AD$387+E267*'Reference Standards'!$AD$388+'Reference Standards'!$AD$389),2)),IF('Quantification Tool'!$B$7="66f",IF(E267&gt;0.06,0,ROUND(IF(E267&lt;=0.003,0.85,IF(E267&lt;=0.004,0.7,E267^2*'Reference Standards'!$AE$387+E267*'Reference Standards'!$AE$388+'Reference Standards'!$AE$389)),2)),IF('Quantification Tool'!$B$7="67g",IF(E267&gt;0.11,0,ROUND(IF(E267&lt;=0.01,E267*'Reference Standards'!$AH$388+'Reference Standards'!$AH$389, E267^2*'Reference Standards'!$AF$387+E267*'Reference Standards'!$AF$388+'Reference Standards'!$AF$389),2)),IF('Quantification Tool'!$B$7="74b",IF(E267&gt;0.49,0,ROUND(IF(E267&lt;=0.01,E267*'Reference Standards'!$AH$388+'Reference Standards'!$AH$389, E267^2*'Reference Standards'!$AG$387+E267*'Reference Standards'!$AG$388+'Reference Standards'!$AG$389),2)),IF('Quantification Tool'!$B$7="65abei",IF(E267&gt;0.199,0,ROUND(IF(E267&lt;=0.01,E267*'Reference Standards'!$AI$426+'Reference Standards'!$AI$427, E267^2*'Reference Standards'!$AE$425+E267*'Reference Standards'!$AE$426+'Reference Standards'!$AE$427),2))    )))))))))))))),      IF('Quantification Tool'!$B$8&lt;=2.5, IF(OR('Quantification Tool'!$B$7="66d",'Quantification Tool'!$B$7="66e",'Quantification Tool'!$B$7="66g"),IF(E267&gt;0.05,0,ROUND(IF(E267&lt;=0.002,1,IF(E267&lt;=0.005,E267*'Reference Standards'!$AF$464+'Reference Standards'!$AF$465, E267^2*'Reference Standards'!$AB$463+E267*'Reference Standards'!$AB$464+'Reference Standards'!$AB$465)),2)), IF('Quantification Tool'!$B$7="67fhi",IF(E267&gt;0.1,0,ROUND(IF(E267&lt;=0.002,1,IF(E267&lt;=0.006,E267*'Reference Standards'!$AG$464+'Reference Standards'!$AG$465, E267^2*'Reference Standards'!$AC$463+E267*'Reference Standards'!$AC$464+'Reference Standards'!$AC$465)),2)), IF('Quantification Tool'!$B$7="65abei",IF(E267&gt;0.13,0,ROUND(IF(E267&lt;=0.003,1,IF(E267&lt;=0.008,E267*'Reference Standards'!$AH$464+'Reference Standards'!$AH$465, E267^2*'Reference Standards'!$AD$463+E267*'Reference Standards'!$AD$464+'Reference Standards'!$AD$465)),2)), IF('Quantification Tool'!$B$7="68b",IF(E267&gt;0.043,0,ROUND(IF(E267&lt;=0.004,1, IF(E267&lt;=0.005,0.7, E267^2*'Reference Standards'!$AE$463+E267*'Reference Standards'!$AE$464+'Reference Standards'!$AE$465)),2)), IF('Quantification Tool'!$B$7="69de",IF(E267&gt;=0.034,0,ROUND(IF(E267&lt;=0.003,1, IF(E267&lt;=0.006,E267*'Reference Standards'!$AG$500+'Reference Standards'!$AG$501, E267*'Reference Standards'!$AB$500+'Reference Standards'!$AB$501)),2)), IF(OR('Quantification Tool'!$B$7="68a",'Quantification Tool'!$B$7="68c"),IF(E267&gt;0.202,0,ROUND(IF(E267&lt;=0.003,1, IF(E267&lt;=0.006,E267*'Reference Standards'!$AG$500+'Reference Standards'!$AG$501, IF(E267&gt;=0.04,E267*'Reference Standards'!$AC$500+'Reference Standards'!$AC$501,E267*'Reference Standards'!$AE$500+'Reference Standards'!$AE$501))),2)), IF(OR('Quantification Tool'!$B$7="71f",'Quantification Tool'!$B$7="71g"),IF(E267&gt;0.631,0,ROUND(IF(E267&lt;=0.003,1, IF(E267&lt;=0.006,E267*'Reference Standards'!$AG$500+'Reference Standards'!$AG$501, IF(E267&gt;=0.17,E267*'Reference Standards'!$AD$500+'Reference Standards'!$AD$501,E267*'Reference Standards'!$AF$500+'Reference Standards'!$AF$501))),2)),   IF('Quantification Tool'!$B$7="71e",IF(E267&gt;1.23,0,ROUND(IF(E267&lt;=0.004,1,IF(E267&lt;=0.006,E267*'Reference Standards'!$AF$538+'Reference Standards'!$AF$539, E267^2*'Reference Standards'!$AB$537+E267*'Reference Standards'!$AB$538+'Reference Standards'!$AB$539)),2)), IF('Quantification Tool'!$B$7="67g",IF(E267&gt;0.11,0,ROUND(IF(E267&lt;=0.006,1,IF(E267&lt;=0.011,E267*'Reference Standards'!$AG$538+'Reference Standards'!$AG$539, E267^2*'Reference Standards'!$AC$537+E267*'Reference Standards'!$AC$538+'Reference Standards'!$AC$539)),2)), IF('Quantification Tool'!$B$7="65j",IF(E267&gt;0.046,0,ROUND(IF(E267&lt;=0.007,1,IF(E267&lt;=0.012,E267*'Reference Standards'!$AH$538+'Reference Standards'!$AH$539, E267^2*'Reference Standards'!$AD$537+E267*'Reference Standards'!$AD$538+'Reference Standards'!$AD$539)),2)), IF('Quantification Tool'!$B$7="66f",IF(E267&gt;0.081,0,ROUND(IF(E267&lt;=0.008,1,IF(E267&lt;=0.011,E267*'Reference Standards'!$AI$538+'Reference Standards'!$AI$539, E267^2*'Reference Standards'!$AE$537+E267*'Reference Standards'!$AE$538+'Reference Standards'!$AE$539)),2)), IF(OR('Quantification Tool'!$B$7="71h",'Quantification Tool'!$B$7="71i"),IF(E267&gt;0.37,0,ROUND(IF(E267&lt;=0.013,1,IF(E267&lt;=0.032,E267*'Reference Standards'!$AH$576+'Reference Standards'!$AH$577, IF(E267&lt;=0.3,E267*'Reference Standards'!$AF$576+'Reference Standards'!$AF$577,E267*'Reference Standards'!$AB$576+'Reference Standards'!$AB$577))),2)), IF('Quantification Tool'!$B$7="73a",IF(E267&gt;0.448,0,ROUND(IF(E267&lt;=0.071,1,IF(E267&lt;=0.086,E267*'Reference Standards'!$AJ$576+'Reference Standards'!$AJ$577, IF(E267&lt;=0.165,E267*'Reference Standards'!$AG$576+'Reference Standards'!$AG$577,E267*'Reference Standards'!$AE$576+'Reference Standards'!$AE$577))),2)),  IF('Quantification Tool'!$B$7="74b",IF(E267&gt;0.43,0,ROUND(IF(E267&lt;=0.018,1,IF(E267&lt;=0.019,0.85, IF(E267&lt;=0.02,0.7, E267^2*'Reference Standards'!$AC$575+E267*'Reference Standards'!$AC$576+'Reference Standards'!$AC$577))),2)), IF('Quantification Tool'!$B$7="74a",IF(E267&gt;0.217,0,ROUND(IF(E267&lt;=0.02,1,IF(E267&lt;=0.033,E267*'Reference Standards'!$AI$576+'Reference Standards'!$AI$577, E267^2*'Reference Standards'!$AD$575+E267*'Reference Standards'!$AD$576+'Reference Standards'!$AD$577)),2))     ))))))))))))))))))</f>
        <v/>
      </c>
      <c r="G267" s="105" t="str">
        <f>IFERROR(AVERAGE(F267),"")</f>
        <v/>
      </c>
      <c r="H267" s="557"/>
      <c r="I267" s="571"/>
      <c r="J267" s="523"/>
      <c r="K267" s="523"/>
      <c r="L267" s="21"/>
    </row>
    <row r="268" spans="1:12" ht="15.75" x14ac:dyDescent="0.25">
      <c r="A268" s="538" t="s">
        <v>62</v>
      </c>
      <c r="B268" s="517" t="s">
        <v>432</v>
      </c>
      <c r="C268" s="154" t="s">
        <v>419</v>
      </c>
      <c r="D268" s="155"/>
      <c r="E268" s="209"/>
      <c r="F268" s="219" t="str">
        <f>IF(E268="","",IF(OR('Quantification Tool'!B$7="73a",'Quantification Tool'!B$7="73b"),IF(E268&lt;1,0,IF(E268&gt;=30,1,ROUND(IF(E268&lt;22,'Reference Standards'!$AL$16*E268+'Reference Standards'!$AL$17,'Reference Standards'!$AM$16*E268+'Reference Standards'!$AM$17),2))), IF(E268&lt;1,0, IF(E268&gt;=42,1, ROUND(IF(E268&lt;32,'Reference Standards'!$AN$16*E268+'Reference Standards'!$AN$17,'Reference Standards'!$AO$16*E268+'Reference Standards'!$AO$17),2)))))</f>
        <v/>
      </c>
      <c r="G268" s="558" t="str">
        <f>IFERROR(AVERAGE(F268:F271),"")</f>
        <v/>
      </c>
      <c r="H268" s="537" t="str">
        <f>IFERROR(ROUND(AVERAGE(G268:G273),2),"")</f>
        <v/>
      </c>
      <c r="I268" s="572" t="str">
        <f>IF(H268="","",IF(H268&gt;0.69,"Functioning",IF(H268&gt;0.29,"Functioning At Risk",IF(H268&gt;-1,"Not Functioning"))))</f>
        <v/>
      </c>
      <c r="J268" s="523"/>
      <c r="K268" s="523"/>
      <c r="L268" s="21"/>
    </row>
    <row r="269" spans="1:12" ht="15.75" x14ac:dyDescent="0.25">
      <c r="A269" s="539"/>
      <c r="B269" s="518"/>
      <c r="C269" s="217" t="s">
        <v>424</v>
      </c>
      <c r="D269" s="218"/>
      <c r="E269" s="208"/>
      <c r="F269" s="221" t="str">
        <f>IF(E269="","",IF(AND('Quantification Tool'!$B$7="74b",'Quantification Tool'!$B$8&lt;=2),IF(E269&lt;0,0,IF(E269&gt;15.6,0.69,ROUND('Reference Standards'!$AL$54*E269^2+'Reference Standards'!$AL$55*E269+'Reference Standards'!$AL$56,2))),IF(AND('Quantification Tool'!$B$7="65abei",'Quantification Tool'!$B$8&lt;=2),IF(E269&lt;0,0,IF(E269&gt;=20,0.69,ROUND('Reference Standards'!$AM$54*E269^2+'Reference Standards'!$AM$55*E269+'Reference Standards'!$AM$56,2))),IF(OR(AND('Quantification Tool'!$B$7="74a",'Quantification Tool'!$B$8&gt;2,'Quantification Tool'!$B$14="January - June"),AND('Quantification Tool'!$B$7="71i",'Quantification Tool'!$B$8&gt;2,'Quantification Tool'!$B$15="SQBANK")),IF(E269&lt;0,0,IF(E269&gt;24.7,0.69,ROUND('Reference Standards'!$AN$54*E269^2+'Reference Standards'!$AN$55*E269+'Reference Standards'!$AN$56,2))),IF(OR('Quantification Tool'!$B$7="74b",'Quantification Tool'!$B$7="65abei"),IF(E269&lt;0,0,IF(E269&gt;32.7,0.69,ROUND('Reference Standards'!$AO$54*E269^2+'Reference Standards'!$AO$55*E269+'Reference Standards'!$AO$56,2))),IF(AND('Quantification Tool'!$B$7="68b",'Quantification Tool'!$B$8&gt;2),IF(E269&lt;0,0,IF(E269&gt;41.2,0.69,ROUND('Reference Standards'!$AP$54*E269^2+'Reference Standards'!$AP$55*E269+'Reference Standards'!$AP$56,2))),IF(OR(AND('Quantification Tool'!$B$7="71i",'Quantification Tool'!$B$8&lt;=2),AND(OR('Quantification Tool'!$B$7="68c",'Quantification Tool'!$B$7="68d"),'Quantification Tool'!$B$14="January - June")),IF(E269&lt;0,0,IF(E269&gt;49.2,0.69,ROUND('Reference Standards'!$AL$94*E269^2+'Reference Standards'!$AL$95*E269+'Reference Standards'!$AL$96,2))),IF(OR(AND('Quantification Tool'!$B$7="68a",'Quantification Tool'!$B$14="January - June"),AND(OR('Quantification Tool'!$B$7="68c",'Quantification Tool'!$B$7="68d"),'Quantification Tool'!$B$14="July - December")),IF(E269&lt;0,0,IF(E269&gt;53.4,0.69,ROUND('Reference Standards'!$AM$94*E269^2+'Reference Standards'!$AM$95*E269+'Reference Standards'!$AM$96,2))),IF(OR(AND('Quantification Tool'!$B$7="71i",'Quantification Tool'!$B$8&gt;2,'Quantification Tool'!$B$15="SQKICK"),AND(OR('Quantification Tool'!$B$7="67fhi",'Quantification Tool'!$B$7="67g"),'Quantification Tool'!$B$8&lt;=2),'Quantification Tool'!$B$7="65j"),IF(E269&lt;0,0,IF(E269&gt;57.8,0.69,ROUND('Reference Standards'!$AN$94*E269^2+'Reference Standards'!$AN$95*E269+'Reference Standards'!$AN$96,2))),IF(OR(AND('Quantification Tool'!$B$7="74a",'Quantification Tool'!$B$8&gt;2,'Quantification Tool'!$B$14="July - December"),AND(OR('Quantification Tool'!$B$7="67fhi",'Quantification Tool'!$B$7="67g"),'Quantification Tool'!$B$8&gt;2),'Quantification Tool'!$B$7="69de"),IF(E269&lt;0,0,IF(E269&gt;62.5,0.69,ROUND('Reference Standards'!$AO$94*E269^2+'Reference Standards'!$AO$95*E269+'Reference Standards'!$AO$96,2))),  IF(OR('Quantification Tool'!$B$7="66d",'Quantification Tool'!$B$7="66e",'Quantification Tool'!$B$7="66ik",'Quantification Tool'!$B$7="71e",'Quantification Tool'!$B$7="71f",'Quantification Tool'!$B$7="71g",'Quantification Tool'!$B$7="71h"),IF(E269&lt;0,0,IF(E269&gt;66.5,0.69,ROUND('Reference Standards'!$AP$94*E269^2+'Reference Standards'!$AP$95*E269+'Reference Standards'!$AP$96,2))),IF(OR('Quantification Tool'!$B$7="66f",'Quantification Tool'!$B$7="66g",'Quantification Tool'!$B$7="66j",AND('Quantification Tool'!$B$7="68a",'Quantification Tool'!$B$14="July - December")), IF(E269&lt;0,0,IF(E269&gt;69,0.69,ROUND('Reference Standards'!$AQ$94*E269^2+'Reference Standards'!$AQ$95*E269+'Reference Standards'!$AQ$96,2))))   )))))))))))</f>
        <v/>
      </c>
      <c r="G269" s="558"/>
      <c r="H269" s="537"/>
      <c r="I269" s="572"/>
      <c r="J269" s="523"/>
      <c r="K269" s="523"/>
      <c r="L269" s="21"/>
    </row>
    <row r="270" spans="1:12" ht="15.75" x14ac:dyDescent="0.25">
      <c r="A270" s="539"/>
      <c r="B270" s="518"/>
      <c r="C270" s="217" t="s">
        <v>428</v>
      </c>
      <c r="D270" s="218"/>
      <c r="E270" s="208"/>
      <c r="F270" s="221" t="str">
        <f>IF(E270="","",IF(AND('Quantification Tool'!$B$7="74b",'Quantification Tool'!$B$8&lt;=2),IF(E270&lt;0,0,IF(E270&gt;8.1,0.69,ROUND('Reference Standards'!$AL$131*E270^2+'Reference Standards'!$AL$132*E270+'Reference Standards'!$AL$133,2))),IF(OR('Quantification Tool'!$B$7="73a",'Quantification Tool'!$B$7="73b"),IF(E270&lt;0,0,IF(E270&gt;=28,0.69,ROUND('Reference Standards'!$AM$131*E270^2+'Reference Standards'!$AM$132*E270+'Reference Standards'!$AM$133,2))),IF(AND('Quantification Tool'!$B$7="74a",'Quantification Tool'!$B$8&gt;2,'Quantification Tool'!$B$14="January - June"),IF(E270&lt;0,0,IF(E270&gt;=32.5,0.69,ROUND('Reference Standards'!$AN$131*E270^2+'Reference Standards'!$AN$132*E270+'Reference Standards'!$AN$133,2))),IF(AND('Quantification Tool'!$B$7="71i",'Quantification Tool'!$B$8&gt;2,'Quantification Tool'!$B$15="SQBANK"),IF(E270&lt;0,0,IF(E270&gt;=37,0.69,ROUND('Reference Standards'!$AO$131*E270^2+'Reference Standards'!$AO$132*E270+'Reference Standards'!$AO$133,2))),IF(OR(AND(OR('Quantification Tool'!$B$7="65abei",'Quantification Tool'!$B$7="74b"),'Quantification Tool'!$B$8&gt;2),AND('Quantification Tool'!$B$7="71i",'Quantification Tool'!$B$8&gt;2,'Quantification Tool'!$B$15="SQKICK")),IF(E270&lt;0,0,IF(E270&gt;42.6,0.69,ROUND('Reference Standards'!$AP$131*E270^2+'Reference Standards'!$AP$132*E270+'Reference Standards'!$AP$133,2))),     IF(OR(AND('Quantification Tool'!$B$7="65abei",'Quantification Tool'!$B$8&lt;=2),AND(OR('Quantification Tool'!$B$7="68c",'Quantification Tool'!$B$7="68d"),'Quantification Tool'!$B$14="July - December"),'Quantification Tool'!$B$7="71e"),IF(E270&lt;0,0,IF(E270&gt;=48,0.69,ROUND('Reference Standards'!$AL$171*E270^2+'Reference Standards'!$AL$172*E270+'Reference Standards'!$AL$173,2))),IF(OR('Quantification Tool'!$B$7="65j",'Quantification Tool'!$B$7="67fhi",'Quantification Tool'!$B$7="67g",AND('Quantification Tool'!$B$7="74a",'Quantification Tool'!$B$14="July - December",'Quantification Tool'!$B$8&gt;2),AND('Quantification Tool'!$B$7="71i",'Quantification Tool'!$B$8&lt;=2)),IF(E270&lt;0,0,IF(E270&gt;=53,0.69,ROUND('Reference Standards'!$AM$171*E270^2+'Reference Standards'!$AM$172*E270+'Reference Standards'!$AM$173,2))),IF(OR(AND(OR('Quantification Tool'!$B$7="68b",'Quantification Tool'!$B$7="71f",'Quantification Tool'!$B$7="71g",'Quantification Tool'!$B$7="71h"),'Quantification Tool'!$B$8&gt;2),'Quantification Tool'!$B$7="68a"),IF(E270&lt;0,0,IF(E270&gt;=57,0.69,ROUND('Reference Standards'!$AN$171*E270^2+'Reference Standards'!$AN$172*E270+'Reference Standards'!$AN$173,2))),IF(OR('Quantification Tool'!$B$7="66f",'Quantification Tool'!$B$7="66g",'Quantification Tool'!$B$7="66j",AND(OR('Quantification Tool'!$B$7="71f",'Quantification Tool'!$B$7="71g",'Quantification Tool'!$B$7="71h"),'Quantification Tool'!$B$8&lt;=2)),IF(E270&lt;0,0,IF(E270&gt;=60,0.69,ROUND('Reference Standards'!$AO$171*E270^2+'Reference Standards'!$AO$172*E270+'Reference Standards'!$AO$173,2))),  IF(OR('Quantification Tool'!$B$7="66d",'Quantification Tool'!$B$7="66e",'Quantification Tool'!$B$7="66ik", AND(OR('Quantification Tool'!$B$7="68c",'Quantification Tool'!$B$7="68d"),'Quantification Tool'!$B$14="January - June"),AND('Quantification Tool'!$B$7="69de",'Quantification Tool'!$B$14="July - December")),IF(E270&lt;0,0,IF(E270&gt;=67.5,0.69,ROUND('Reference Standards'!$AP$171*E270^2+'Reference Standards'!$AP$172*E270+'Reference Standards'!$AP$173,2))),IF(AND('Quantification Tool'!$B$7="69de",'Quantification Tool'!$B$14="January - June"), IF(E270&lt;0,0,IF(E270&gt;=72,0.69,ROUND('Reference Standards'!$AQ$171*E270^2+'Reference Standards'!$AQ$172*E270+'Reference Standards'!$AQ$173,2))))   )))))))))))</f>
        <v/>
      </c>
      <c r="G270" s="558"/>
      <c r="H270" s="537"/>
      <c r="I270" s="572"/>
      <c r="J270" s="523"/>
      <c r="K270" s="523"/>
      <c r="L270" s="21"/>
    </row>
    <row r="271" spans="1:12" ht="15.75" x14ac:dyDescent="0.25">
      <c r="A271" s="539"/>
      <c r="B271" s="519"/>
      <c r="C271" s="156" t="s">
        <v>425</v>
      </c>
      <c r="D271" s="88"/>
      <c r="E271" s="210"/>
      <c r="F271" s="221" t="str">
        <f>IF(E271="","",IF(OR('Quantification Tool'!$B$7="67fhi",'Quantification Tool'!$B$7="67g",'Quantification Tool'!$B$7="71e",'Quantification Tool'!$B$7="73a",'Quantification Tool'!$B$7="73b",AND(OR('Quantification Tool'!$B$7="71f",'Quantification Tool'!$B$7="71g",'Quantification Tool'!$B$7="71h"),'Quantification Tool'!$B$8&gt;2)),IF(E271&gt;100,0,IF(E271&lt;15,0.69,ROUND('Reference Standards'!$AL$208*E271^2+'Reference Standards'!$AL$209*E271+'Reference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),IF(E271&gt;100,0,IF(E271&lt;19,0.69,ROUND('Reference Standards'!$AM$208*E271^2+'Reference Standards'!$AM$209*E271+'Reference Standards'!$AM$210,2))),    IF(OR(AND('Quantification Tool'!$B$7="69de",'Quantification Tool'!$B$14="January - June"),AND('Quantification Tool'!$B$7="71i",'Quantification Tool'!$B$8&gt;2,'Quantification Tool'!$B$15="SQKICK" )),IF(E271&gt;100,0,IF(E271&lt;22,0.69,ROUND('Reference Standards'!$AN$208*E271^2+'Reference Standards'!$AN$209*E271+'Reference Standards'!$AN$210,2))),    IF(OR('Quantification Tool'!$B$7="65j",AND('Quantification Tool'!$B$7="68b",'Quantification Tool'!$B$8&gt;2)),IF(E271&gt;100,0,IF(E271&lt;24,0.69,ROUND('Reference Standards'!$AO$208*E271^2+'Reference Standards'!$AO$209*E271+'Reference Standards'!$AO$210,2))),    IF(AND(OR('Quantification Tool'!$B$7="65abei",'Quantification Tool'!$B$7="71f",'Quantification Tool'!$B$7="71g",'Quantification Tool'!$B$7="71h"),'Quantification Tool'!$B$8&lt;=2),IF(E271&gt;95,0,IF(E271&lt;33,0.69,ROUND('Reference Standards'!$AL$246*E271^2+'Reference Standards'!$AL$247*E271+'Reference Standards'!$AL$248,2))),   IF(AND(OR('Quantification Tool'!$B$7="65abei",'Quantification Tool'!$B$7="74b"),'Quantification Tool'!$B$8&gt;2),IF(E271&gt;97,0,IF(E271&lt;36,0.69,ROUND('Reference Standards'!$AM$246*E271^2+'Reference Standards'!$AM$247*E271+'Reference Standards'!$AM$248,2))),  IF(AND('Quantification Tool'!$B$7="74a",'Quantification Tool'!$B$14="January - June",'Quantification Tool'!$B$8&gt;2),IF(E271&gt;93,0,IF(E271&lt;52,0.69,ROUND('Reference Standards'!$AN$246*E271^2+'Reference Standards'!$AN$247*E271+'Reference Standards'!$AN$248,2))),   IF(AND('Quantification Tool'!$B$7="74b",'Quantification Tool'!$B$8&lt;=2),IF(E271&gt;97,0,IF(E271&lt;62,0.69,ROUND('Reference Standards'!$AO$246*E271^2+'Reference Standards'!$AO$247*E271+'Reference Standards'!$AO$248,2)))  )))))))))</f>
        <v/>
      </c>
      <c r="G271" s="558"/>
      <c r="H271" s="537"/>
      <c r="I271" s="572"/>
      <c r="J271" s="523"/>
      <c r="K271" s="523"/>
      <c r="L271" s="21"/>
    </row>
    <row r="272" spans="1:12" ht="15.75" x14ac:dyDescent="0.25">
      <c r="A272" s="539"/>
      <c r="B272" s="530" t="s">
        <v>86</v>
      </c>
      <c r="C272" s="154" t="s">
        <v>255</v>
      </c>
      <c r="D272" s="155"/>
      <c r="E272" s="209"/>
      <c r="F272" s="219" t="str">
        <f>IF(E272="","",IF(E272=1,0.15,IF(E272=3,0.5,IF(E272=5,0.85,0))))</f>
        <v/>
      </c>
      <c r="G272" s="531" t="str">
        <f>IFERROR(AVERAGE(F272:F273),"")</f>
        <v/>
      </c>
      <c r="H272" s="537"/>
      <c r="I272" s="572"/>
      <c r="J272" s="523"/>
      <c r="K272" s="523"/>
      <c r="L272" s="21"/>
    </row>
    <row r="273" spans="1:12" ht="15.75" x14ac:dyDescent="0.25">
      <c r="A273" s="540"/>
      <c r="B273" s="530"/>
      <c r="C273" s="156" t="s">
        <v>420</v>
      </c>
      <c r="D273" s="88"/>
      <c r="E273" s="210"/>
      <c r="F273" s="220" t="str">
        <f>IF(E273="","",IF(E273=1,0.15,IF(E273=3,0.5,IF(E273=5,0.85,0))))</f>
        <v/>
      </c>
      <c r="G273" s="532"/>
      <c r="H273" s="537"/>
      <c r="I273" s="572"/>
      <c r="J273" s="523"/>
      <c r="K273" s="523"/>
      <c r="L273" s="21"/>
    </row>
    <row r="274" spans="1:12" x14ac:dyDescent="0.25">
      <c r="L274" s="21"/>
    </row>
    <row r="275" spans="1:12" x14ac:dyDescent="0.25">
      <c r="L275" s="21"/>
    </row>
    <row r="276" spans="1:12" ht="21" x14ac:dyDescent="0.35">
      <c r="A276" s="188" t="s">
        <v>173</v>
      </c>
      <c r="B276" s="312"/>
      <c r="C276" s="315" t="s">
        <v>395</v>
      </c>
      <c r="D276" s="312"/>
      <c r="E276" s="313"/>
      <c r="F276" s="314"/>
      <c r="G276" s="450" t="s">
        <v>18</v>
      </c>
      <c r="H276" s="451"/>
      <c r="I276" s="451"/>
      <c r="J276" s="451"/>
      <c r="K276" s="452"/>
      <c r="L276" s="21"/>
    </row>
    <row r="277" spans="1:12" ht="15.75" x14ac:dyDescent="0.25">
      <c r="A277" s="181" t="s">
        <v>1</v>
      </c>
      <c r="B277" s="181" t="s">
        <v>2</v>
      </c>
      <c r="C277" s="498" t="s">
        <v>3</v>
      </c>
      <c r="D277" s="573"/>
      <c r="E277" s="181" t="s">
        <v>15</v>
      </c>
      <c r="F277" s="181" t="s">
        <v>16</v>
      </c>
      <c r="G277" s="181" t="s">
        <v>19</v>
      </c>
      <c r="H277" s="181" t="s">
        <v>20</v>
      </c>
      <c r="I277" s="181" t="s">
        <v>20</v>
      </c>
      <c r="J277" s="181" t="s">
        <v>21</v>
      </c>
      <c r="K277" s="60" t="s">
        <v>21</v>
      </c>
    </row>
    <row r="278" spans="1:12" ht="15.75" x14ac:dyDescent="0.25">
      <c r="A278" s="453" t="s">
        <v>68</v>
      </c>
      <c r="B278" s="294" t="s">
        <v>99</v>
      </c>
      <c r="C278" s="62" t="s">
        <v>421</v>
      </c>
      <c r="D278" s="62"/>
      <c r="E278" s="202"/>
      <c r="F278" s="173" t="str">
        <f>IF(E278="","",IF(E278&gt;78,0,IF(E278&lt;30,1,ROUND('Reference Standards'!C$14*E278^2+'Reference Standards'!C$15*E278+'Reference Standards'!C$16,2))))</f>
        <v/>
      </c>
      <c r="G278" s="101" t="str">
        <f>IFERROR(AVERAGE(F278),"")</f>
        <v/>
      </c>
      <c r="H278" s="460" t="str">
        <f>IFERROR(ROUND(AVERAGE(G278:G282),2),"")</f>
        <v/>
      </c>
      <c r="I278" s="572" t="str">
        <f>IF(H278="","",IF(H278&gt;0.69,"Functioning",IF(H278&gt;0.29,"Functioning At Risk",IF(H278&gt;-1,"Not Functioning"))))</f>
        <v/>
      </c>
      <c r="J278" s="523" t="str">
        <f>IF(AND(H278="",H283="",H285="",H304="",H308=""),"",ROUND((IF(H278="",0,H278)*0.2)+(IF(H283="",0,H283)*0.2)+(IF(H285="",0,H285)*0.2)+(IF(H304="",0,H304)*0.2)+(IF(H308="",0,H308)*0.2),2))</f>
        <v/>
      </c>
      <c r="K278" s="523" t="str">
        <f>IF(J278="","",IF(J278&lt;0.3, "Not Functioning",IF(OR(H278&lt;0.7,H283&lt;0.7,H285&lt;0.7,H304&lt;0.7,H308&lt;0.7),"Functioning At Risk",IF(J278&lt;0.7,"Functioning At Risk","Functioning"))))</f>
        <v/>
      </c>
    </row>
    <row r="279" spans="1:12" ht="15.75" x14ac:dyDescent="0.25">
      <c r="A279" s="454"/>
      <c r="B279" s="541" t="s">
        <v>154</v>
      </c>
      <c r="C279" s="170" t="s">
        <v>202</v>
      </c>
      <c r="D279" s="169"/>
      <c r="E279" s="167"/>
      <c r="F279" s="173" t="str">
        <f>IF(E279="","",IF(E279&gt;=1,1,IF(E279&lt;=0,0,ROUND(E279,2))))</f>
        <v/>
      </c>
      <c r="G279" s="544" t="str">
        <f>IFERROR(AVERAGE(F279:F282),"")</f>
        <v/>
      </c>
      <c r="H279" s="461"/>
      <c r="I279" s="572"/>
      <c r="J279" s="523"/>
      <c r="K279" s="523"/>
    </row>
    <row r="280" spans="1:12" ht="15.75" x14ac:dyDescent="0.25">
      <c r="A280" s="454"/>
      <c r="B280" s="542"/>
      <c r="C280" s="171" t="s">
        <v>155</v>
      </c>
      <c r="D280" s="62"/>
      <c r="E280" s="202"/>
      <c r="F280" s="63" t="str">
        <f>IF(E280="","",IF(E280&gt;3,0,IF(E280=0,1,ROUND('Reference Standards'!C$49*E280+'Reference Standards'!C$50,2))))</f>
        <v/>
      </c>
      <c r="G280" s="545"/>
      <c r="H280" s="461"/>
      <c r="I280" s="572"/>
      <c r="J280" s="523"/>
      <c r="K280" s="523"/>
    </row>
    <row r="281" spans="1:12" ht="15.75" x14ac:dyDescent="0.25">
      <c r="A281" s="454"/>
      <c r="B281" s="542"/>
      <c r="C281" s="171" t="s">
        <v>429</v>
      </c>
      <c r="D281" s="62"/>
      <c r="E281" s="202"/>
      <c r="F281" s="63" t="str">
        <f>IF(E281="","",IF(E281&gt;=30,1,ROUND(E281^2*'Reference Standards'!$C$82+E281*'Reference Standards'!$C$83+'Reference Standards'!$C$84,2)))</f>
        <v/>
      </c>
      <c r="G281" s="545"/>
      <c r="H281" s="461"/>
      <c r="I281" s="572"/>
      <c r="J281" s="523"/>
      <c r="K281" s="523"/>
    </row>
    <row r="282" spans="1:12" ht="15.75" x14ac:dyDescent="0.25">
      <c r="A282" s="454"/>
      <c r="B282" s="543"/>
      <c r="C282" s="172" t="s">
        <v>391</v>
      </c>
      <c r="D282" s="64"/>
      <c r="E282" s="203"/>
      <c r="F282" s="168" t="str">
        <f>IF(E282="","",IF('Quantification Tool'!B$16="Sandy",IF(E282&gt;1.94,0,IF(E282&lt;1.45,1,ROUND(E282*'Reference Standards'!$C$118+'Reference Standards'!$C$119,2))),IF('Quantification Tool'!B$16="Silty",IF(E282&gt;1.83,0,IF(E282&lt;1.21,1,ROUND(E282*'Reference Standards'!$D$118+'Reference Standards'!$D$119,2))),IF('Quantification Tool'!B$16="Clayey",IF(E282&gt;1.74,0,IF(E282&lt;0.82,1,ROUND(E282*'Reference Standards'!$E$118+'Reference Standards'!$E$119,2)))))))</f>
        <v/>
      </c>
      <c r="G282" s="546"/>
      <c r="H282" s="461"/>
      <c r="I282" s="572"/>
      <c r="J282" s="523"/>
      <c r="K282" s="523"/>
    </row>
    <row r="283" spans="1:12" ht="15.75" x14ac:dyDescent="0.25">
      <c r="A283" s="547" t="s">
        <v>6</v>
      </c>
      <c r="B283" s="547" t="s">
        <v>7</v>
      </c>
      <c r="C283" s="66" t="s">
        <v>8</v>
      </c>
      <c r="D283" s="66"/>
      <c r="E283" s="202"/>
      <c r="F283" s="67" t="str">
        <f>IF(E283="","",ROUND(IF(E283&gt;1.6,0,IF(E283&lt;=1,1,E283^2*'Reference Standards'!K$14+E283*'Reference Standards'!K$15+'Reference Standards'!K$16)),2))</f>
        <v/>
      </c>
      <c r="G283" s="504" t="str">
        <f>IFERROR(AVERAGE(F283:F284),"")</f>
        <v/>
      </c>
      <c r="H283" s="504" t="str">
        <f>IFERROR(ROUND(AVERAGE(G283),2),"")</f>
        <v/>
      </c>
      <c r="I283" s="574" t="str">
        <f>IF(H283="","",IF(H283&gt;0.69,"Functioning",IF(H283&gt;0.29,"Functioning At Risk",IF(H283&gt;-1,"Not Functioning"))))</f>
        <v/>
      </c>
      <c r="J283" s="523"/>
      <c r="K283" s="523"/>
    </row>
    <row r="284" spans="1:12" ht="15.75" x14ac:dyDescent="0.25">
      <c r="A284" s="549"/>
      <c r="B284" s="548"/>
      <c r="C284" s="66" t="s">
        <v>9</v>
      </c>
      <c r="D284" s="66"/>
      <c r="E284" s="203"/>
      <c r="F284" s="67" t="str">
        <f>IF(E284="","",(IF(OR('Quantification Tool'!B$6="A",'Quantification Tool'!B$6="B",'Quantification Tool'!$B$6="Bc"),IF(E284&lt;1.2,0,IF(E284&gt;=2.2,1,ROUND(IF(E284&lt;1.4,E284*'Reference Standards'!$K$84+'Reference Standards'!$K$85,E284*'Reference Standards'!$L$84+'Reference Standards'!$L$85),2))),IF(OR('Quantification Tool'!B$6="C",'Quantification Tool'!B$6="E"),IF(E284&lt;2,0,IF(E284&gt;=5,1,ROUND(IF(E284&lt;2.4,E284*'Reference Standards'!$L$49+'Reference Standards'!$L$50,E284*'Reference Standards'!$K$49+'Reference Standards'!$K$50),2)))))))</f>
        <v/>
      </c>
      <c r="G284" s="533"/>
      <c r="H284" s="505"/>
      <c r="I284" s="575"/>
      <c r="J284" s="523"/>
      <c r="K284" s="523"/>
    </row>
    <row r="285" spans="1:12" ht="15.75" x14ac:dyDescent="0.25">
      <c r="A285" s="464" t="s">
        <v>27</v>
      </c>
      <c r="B285" s="553" t="s">
        <v>28</v>
      </c>
      <c r="C285" s="74" t="s">
        <v>422</v>
      </c>
      <c r="D285" s="308"/>
      <c r="E285" s="75"/>
      <c r="F285" s="310" t="str">
        <f>IF(E285="","",IF(E285&gt;700,1,IF(E285&lt;300,ROUND('Reference Standards'!$S$14*(E285^2)+'Reference Standards'!$S$15*E285+'Reference Standards'!$S$16,2),ROUND('Reference Standards'!$T$15*E285+'Reference Standards'!$T$16,2))))</f>
        <v/>
      </c>
      <c r="G285" s="506" t="str">
        <f>IFERROR(AVERAGE(F285:F286),"")</f>
        <v/>
      </c>
      <c r="H285" s="534" t="str">
        <f>IFERROR(ROUND(AVERAGE(G285:G303),2),"")</f>
        <v/>
      </c>
      <c r="I285" s="523" t="str">
        <f>IF(H285="","",IF(H285&gt;0.69,"Functioning",IF(H285&gt;0.29,"Functioning At Risk",IF(H285&gt;-1,"Not Functioning"))))</f>
        <v/>
      </c>
      <c r="J285" s="523"/>
      <c r="K285" s="523"/>
    </row>
    <row r="286" spans="1:12" ht="15.75" x14ac:dyDescent="0.25">
      <c r="A286" s="465"/>
      <c r="B286" s="554"/>
      <c r="C286" s="77" t="s">
        <v>394</v>
      </c>
      <c r="D286" s="309"/>
      <c r="E286" s="65"/>
      <c r="F286" s="311" t="str">
        <f>IF(E286="","",IF(E286&gt;=30,1,IF(E286&lt;16,ROUND('Reference Standards'!$S$47*(E286^2)+'Reference Standards'!$S$48*E286+'Reference Standards'!$S$49,2),ROUND('Reference Standards'!$T$48*E286+'Reference Standards'!$T$49,2))))</f>
        <v/>
      </c>
      <c r="G286" s="508"/>
      <c r="H286" s="534"/>
      <c r="I286" s="523"/>
      <c r="J286" s="523"/>
      <c r="K286" s="523"/>
    </row>
    <row r="287" spans="1:12" ht="15.75" x14ac:dyDescent="0.25">
      <c r="A287" s="465"/>
      <c r="B287" s="465" t="s">
        <v>51</v>
      </c>
      <c r="C287" s="71" t="s">
        <v>92</v>
      </c>
      <c r="D287" s="71"/>
      <c r="E287" s="167"/>
      <c r="F287" s="72" t="str">
        <f>IF(E287="","",ROUND(IF(E287&gt;0.7,0,IF(E287&lt;=0.1,1,E287^3*'Reference Standards'!S$81+E287^2*'Reference Standards'!S$82+E287*'Reference Standards'!S$83+'Reference Standards'!S$84)),2))</f>
        <v/>
      </c>
      <c r="G287" s="551" t="str">
        <f>IFERROR(IF(E287="",AVERAGE(F288:F289),IF(E288="",F287,MAX(F287,AVERAGE(F288:F289)))),"")</f>
        <v/>
      </c>
      <c r="H287" s="535"/>
      <c r="I287" s="523"/>
      <c r="J287" s="523"/>
      <c r="K287" s="523"/>
    </row>
    <row r="288" spans="1:12" ht="15.75" x14ac:dyDescent="0.25">
      <c r="A288" s="465"/>
      <c r="B288" s="465"/>
      <c r="C288" s="71" t="s">
        <v>52</v>
      </c>
      <c r="D288" s="71"/>
      <c r="E288" s="202"/>
      <c r="F288" s="72" t="str">
        <f>IF(E288="","",IF(OR(E288="Ex/Ex",E288="Ex/VH"),0, IF(OR(E288="Ex/H",E288="VH/Ex",E288="VH/VH", E288="H/Ex",E288="H/VH",E288="M/Ex"),0.1,IF(OR(E288="Ex/M",E288="VH/H",E288="H/H", E288="M/VH"),0.2, IF(OR(E288="Ex/L",E288="VH/M",E288="H/M", E288="M/H",E288="L/Ex"),0.3, IF(OR(E288="Ex/VL",E288="VH/L",E288="H/L"),0.4, IF(OR(E288="VH/VL",E288="H/VL",E288="M/M", E288="L/VH"),0.5, IF(OR(E288="M/L",E288="L/H"),0.6, IF(OR(E288="M/VL",E288="L/M"),0.7, IF(OR(E288="L/L",E288="L/VL"),1))))))))))</f>
        <v/>
      </c>
      <c r="G288" s="551"/>
      <c r="H288" s="535"/>
      <c r="I288" s="523"/>
      <c r="J288" s="523"/>
      <c r="K288" s="523"/>
    </row>
    <row r="289" spans="1:13" ht="15.75" x14ac:dyDescent="0.25">
      <c r="A289" s="465"/>
      <c r="B289" s="466"/>
      <c r="C289" s="73" t="s">
        <v>102</v>
      </c>
      <c r="D289" s="73"/>
      <c r="E289" s="203"/>
      <c r="F289" s="80" t="str">
        <f>IF(E289="","",ROUND(IF(E289&gt;40,0,IF(E289&lt;5,1,E289^3*'Reference Standards'!S$116+E289^2*'Reference Standards'!S$117+E289*'Reference Standards'!S$118+'Reference Standards'!S$119)),2))</f>
        <v/>
      </c>
      <c r="G289" s="551"/>
      <c r="H289" s="535"/>
      <c r="I289" s="523"/>
      <c r="J289" s="523"/>
      <c r="K289" s="523"/>
    </row>
    <row r="290" spans="1:13" ht="15.75" x14ac:dyDescent="0.25">
      <c r="A290" s="465"/>
      <c r="B290" s="465" t="s">
        <v>53</v>
      </c>
      <c r="C290" s="74" t="s">
        <v>120</v>
      </c>
      <c r="D290" s="78"/>
      <c r="E290" s="167"/>
      <c r="F290" s="90" t="str">
        <f>IF(E290="","",ROUND(IF(E290&gt;90,1,E290^2*'Reference Standards'!S$151+E290*'Reference Standards'!S$152+'Reference Standards'!S$153),2))</f>
        <v/>
      </c>
      <c r="G290" s="550" t="str">
        <f>IFERROR(ROUND(AVERAGE(F290:F297),2),"")</f>
        <v/>
      </c>
      <c r="H290" s="535"/>
      <c r="I290" s="523"/>
      <c r="J290" s="523"/>
      <c r="K290" s="523"/>
    </row>
    <row r="291" spans="1:13" ht="15.75" x14ac:dyDescent="0.25">
      <c r="A291" s="465"/>
      <c r="B291" s="465"/>
      <c r="C291" s="76" t="s">
        <v>121</v>
      </c>
      <c r="D291" s="71"/>
      <c r="E291" s="202"/>
      <c r="F291" s="72" t="str">
        <f>IF(E291="","",ROUND(IF(E291&gt;90,1,E291^2*'Reference Standards'!S$151+E291*'Reference Standards'!S$152+'Reference Standards'!S$153),2))</f>
        <v/>
      </c>
      <c r="G291" s="551"/>
      <c r="H291" s="535"/>
      <c r="I291" s="523"/>
      <c r="J291" s="523"/>
      <c r="K291" s="523"/>
    </row>
    <row r="292" spans="1:13" ht="15.75" x14ac:dyDescent="0.25">
      <c r="A292" s="465"/>
      <c r="B292" s="465"/>
      <c r="C292" s="76" t="s">
        <v>430</v>
      </c>
      <c r="D292" s="71"/>
      <c r="E292" s="202"/>
      <c r="F292" s="72" t="str">
        <f>IF(E292="","",ROUND(IF(OR('Quantification Tool'!B$6="A",'Quantification Tool'!B$6="B",'Quantification Tool'!B$6="Bc"),IF(E292&gt;=50,1, IF(E292&lt;30, E292*'Reference Standards'!#REF!+'Reference Standards'!#REF!, E292*'Reference Standards'!#REF!+'Reference Standards'!#REF!)), IF(E292&gt;=150,1,IF(E292&lt;48, E292^2*'Reference Standards'!S$220+E292*'Reference Standards'!S$221+'Reference Standards'!S$222, E292*'Reference Standards'!T$220+'Reference Standards'!T$221))),2))</f>
        <v/>
      </c>
      <c r="G292" s="551"/>
      <c r="H292" s="535"/>
      <c r="I292" s="523"/>
      <c r="J292" s="523"/>
      <c r="K292" s="523"/>
    </row>
    <row r="293" spans="1:13" ht="15.75" x14ac:dyDescent="0.25">
      <c r="A293" s="465"/>
      <c r="B293" s="465"/>
      <c r="C293" s="76" t="s">
        <v>431</v>
      </c>
      <c r="D293" s="71"/>
      <c r="E293" s="202"/>
      <c r="F293" s="72" t="str">
        <f>IF(E293="","",ROUND(IF(OR('Quantification Tool'!B$6="A",'Quantification Tool'!B$6="B",'Quantification Tool'!B$6="Bc"),IF(E293&gt;=50,1, IF(E293&lt;30, E293*'Reference Standards'!#REF!+'Reference Standards'!#REF!, E293*'Reference Standards'!#REF!+'Reference Standards'!#REF!)), IF(E293&gt;=150,1,IF(E293&lt;45, E293^2*'Reference Standards'!S$220+E293*'Reference Standards'!S$221+'Reference Standards'!S$222, E293*'Reference Standards'!T$220+'Reference Standards'!T$221))),2))</f>
        <v/>
      </c>
      <c r="G293" s="551"/>
      <c r="H293" s="535"/>
      <c r="I293" s="523"/>
      <c r="J293" s="523"/>
      <c r="K293" s="523"/>
    </row>
    <row r="294" spans="1:13" ht="15.75" x14ac:dyDescent="0.25">
      <c r="A294" s="465"/>
      <c r="B294" s="465"/>
      <c r="C294" s="71" t="s">
        <v>128</v>
      </c>
      <c r="D294" s="71"/>
      <c r="E294" s="202"/>
      <c r="F294" s="72" t="str">
        <f>IF(E294="","",ROUND(IF(E294&gt;100,1,E294^2*'Reference Standards'!S$185+E294*'Reference Standards'!S$186+'Reference Standards'!S$187),2))</f>
        <v/>
      </c>
      <c r="G294" s="551"/>
      <c r="H294" s="535"/>
      <c r="I294" s="523"/>
      <c r="J294" s="523"/>
      <c r="K294" s="523"/>
    </row>
    <row r="295" spans="1:13" ht="15.75" x14ac:dyDescent="0.25">
      <c r="A295" s="465"/>
      <c r="B295" s="465"/>
      <c r="C295" s="71" t="s">
        <v>129</v>
      </c>
      <c r="D295" s="71"/>
      <c r="E295" s="202"/>
      <c r="F295" s="72" t="str">
        <f>IF(E295="","",ROUND(IF(E295&gt;100,1,E295^2*'Reference Standards'!S$185+E295*'Reference Standards'!S$186+'Reference Standards'!S$187),2))</f>
        <v/>
      </c>
      <c r="G295" s="551"/>
      <c r="H295" s="535"/>
      <c r="I295" s="523"/>
      <c r="J295" s="523"/>
      <c r="K295" s="523"/>
    </row>
    <row r="296" spans="1:13" ht="15.75" x14ac:dyDescent="0.25">
      <c r="A296" s="465"/>
      <c r="B296" s="465"/>
      <c r="C296" s="76" t="s">
        <v>165</v>
      </c>
      <c r="D296" s="71"/>
      <c r="E296" s="202"/>
      <c r="F296" s="72" t="str">
        <f>IF(E296="","",ROUND(IF(E296&gt;=300,0.5,E296*'Reference Standards'!S$253),2))</f>
        <v/>
      </c>
      <c r="G296" s="551"/>
      <c r="H296" s="535"/>
      <c r="I296" s="523"/>
      <c r="J296" s="523"/>
      <c r="K296" s="523"/>
      <c r="M296" s="21"/>
    </row>
    <row r="297" spans="1:13" ht="15.75" x14ac:dyDescent="0.25">
      <c r="A297" s="465"/>
      <c r="B297" s="466"/>
      <c r="C297" s="77" t="s">
        <v>166</v>
      </c>
      <c r="D297" s="79"/>
      <c r="E297" s="202"/>
      <c r="F297" s="72" t="str">
        <f>IF(E297="","",ROUND(IF(E297&gt;=300,0.5,E297*'Reference Standards'!S$253),2))</f>
        <v/>
      </c>
      <c r="G297" s="552"/>
      <c r="H297" s="535"/>
      <c r="I297" s="523"/>
      <c r="J297" s="523"/>
      <c r="K297" s="523"/>
    </row>
    <row r="298" spans="1:13" ht="15.75" x14ac:dyDescent="0.25">
      <c r="A298" s="465"/>
      <c r="B298" s="69" t="s">
        <v>130</v>
      </c>
      <c r="C298" s="89" t="s">
        <v>168</v>
      </c>
      <c r="D298" s="71"/>
      <c r="E298" s="53"/>
      <c r="F298" s="234" t="str">
        <f>IF(E298="","",IF('Quantification Tool'!B$9="Gravel",IF(E298&gt;0.1,1,IF(E298&lt;=0.01,0,ROUND(E298*'Reference Standards'!$S$289+'Reference Standards'!$S$290,2)))))</f>
        <v/>
      </c>
      <c r="G298" s="100" t="str">
        <f>IFERROR(AVERAGE(F298),"")</f>
        <v/>
      </c>
      <c r="H298" s="535"/>
      <c r="I298" s="523"/>
      <c r="J298" s="523"/>
      <c r="K298" s="523"/>
    </row>
    <row r="299" spans="1:13" ht="15.75" x14ac:dyDescent="0.25">
      <c r="A299" s="465"/>
      <c r="B299" s="464" t="s">
        <v>54</v>
      </c>
      <c r="C299" s="78" t="s">
        <v>55</v>
      </c>
      <c r="D299" s="78"/>
      <c r="E299" s="209"/>
      <c r="F299" s="299" t="str">
        <f>IF(E299="","",   IF(AND('Quantification Tool'!$B$6="E",'Quantification Tool'!$B$9="Gravel"),ROUND(IF(OR(E299&lt;=2.3,E299&gt;=10.1),0,IF(E299&lt;4,E299*'Reference Standards'!$S$325+'Reference Standards'!$S$326,IF(E299&lt;=7.5,1,E299*'Reference Standards'!$T$325+'Reference Standards'!$T$326))),2),    IF(AND('Quantification Tool'!$B$6="E",'Quantification Tool'!$B$9="Sand"),ROUND(IF(OR(E299&lt;3,E299&gt;6.7),0,IF(E299&lt;=5,1,E299*'Reference Standards'!$S$357+'Reference Standards'!$S$358)),2),    IF(AND('Quantification Tool'!$B$6="C",OR('Quantification Tool'!$B$9="Gravel",'Quantification Tool'!$B$9="Sand")),ROUND(IF(OR(E299&lt;=2.3,E299&gt;=8.1),0,IF(E299&lt;4,E299*'Reference Standards'!$S$391+'Reference Standards'!$S$392,IF(E299&lt;=5.5,1,E299*'Reference Standards'!$T$391+'Reference Standards'!$T$392))),2), IF(AND(OR('Quantification Tool'!$B$6="Bc",'Quantification Tool'!$B$6="B"),'Quantification Tool'!$B$9="Gravel"),ROUND(IF(E299&gt;=7.1,0,IF(E299&gt;4.5,E299*'Reference Standards'!$S$423+'Reference Standards'!$S$424,1)),2))))))</f>
        <v/>
      </c>
      <c r="G299" s="506" t="str">
        <f>IFERROR(AVERAGE(F299:F302),"")</f>
        <v/>
      </c>
      <c r="H299" s="535"/>
      <c r="I299" s="523"/>
      <c r="J299" s="523"/>
      <c r="K299" s="523"/>
    </row>
    <row r="300" spans="1:13" ht="15.75" x14ac:dyDescent="0.25">
      <c r="A300" s="465"/>
      <c r="B300" s="465"/>
      <c r="C300" s="71" t="s">
        <v>56</v>
      </c>
      <c r="D300" s="71"/>
      <c r="E300" s="208"/>
      <c r="F300" s="300" t="str">
        <f>IF(E300="","",IF(E300&lt;1.25,0,IF(E300&gt;=2.8,1,IF(AND(OR('Quantification Tool'!B$6="B", 'Quantification Tool'!B$6="Bc"),'Quantification Tool'!$B$9="Gravel"),ROUND(E300^2*'Reference Standards'!S$489+E300*'Reference Standards'!S$490+'Reference Standards'!S$491,2), IF(AND(OR('Quantification Tool'!B$6="C", 'Quantification Tool'!B$6="E"),OR('Quantification Tool'!$B$9="Gravel",'Quantification Tool'!$B$9="Sand")), ROUND(IF(E300&lt;=1.7,E300*'Reference Standards'!$S$457+'Reference Standards'!$S$458,E300*'Reference Standards'!$T$457+'Reference Standards'!$T$458),2)    )))))</f>
        <v/>
      </c>
      <c r="G300" s="507"/>
      <c r="H300" s="535"/>
      <c r="I300" s="523"/>
      <c r="J300" s="523"/>
      <c r="K300" s="523"/>
    </row>
    <row r="301" spans="1:13" ht="15.75" x14ac:dyDescent="0.25">
      <c r="A301" s="465"/>
      <c r="B301" s="465"/>
      <c r="C301" s="71" t="s">
        <v>423</v>
      </c>
      <c r="D301" s="71"/>
      <c r="E301" s="208"/>
      <c r="F301" s="296" t="str">
        <f>IF(E301="","",IF(AND('Quantification Tool'!$B$6="E",OR('Quantification Tool'!$B$9="Sand",'Quantification Tool'!$B$9="Gravel")), IF(OR(E301&lt;20,E301&gt;73),0,ROUND(IF(E301&lt;25,E301*'Reference Standards'!$S$526+'Reference Standards'!$S$527,IF(E301&lt;35,1,E301^2*'Reference Standards'!$T$525+E301*'Reference Standards'!$T$526+'Reference Standards'!$T$527)),2)),  IF(AND('Quantification Tool'!$B$6="C",OR('Quantification Tool'!$B$9="Sand",'Quantification Tool'!$B$9="Gravel")), IF(OR(E301&lt;19,E301&gt;63),0,ROUND(IF(E301&lt;43,E301*'Reference Standards'!$S$560+'Reference Standards'!$S$561,IF(E301&lt;52,1,E301*'Reference Standards'!$T$560+'Reference Standards'!$T$561)),2)),IF(AND(OR('Quantification Tool'!$B$6="B",'Quantification Tool'!$B$6="Bc"),'Quantification Tool'!$B$9="Gravel"), IF(OR(E301&lt;18,E301&gt;82),0,ROUND(IF(E301&lt;30,E301^2*'Reference Standards'!$S$594+E301*'Reference Standards'!$S$595+'Reference Standards'!$S$596,IF(E301&lt;41,1,E301*'Reference Standards'!$T$595+'Reference Standards'!$T$596)),2))   ))))</f>
        <v/>
      </c>
      <c r="G301" s="507"/>
      <c r="H301" s="535"/>
      <c r="I301" s="523"/>
      <c r="J301" s="523"/>
      <c r="K301" s="523"/>
    </row>
    <row r="302" spans="1:13" ht="15.75" x14ac:dyDescent="0.25">
      <c r="A302" s="465"/>
      <c r="B302" s="466"/>
      <c r="C302" s="76" t="s">
        <v>254</v>
      </c>
      <c r="D302" s="71"/>
      <c r="E302" s="210"/>
      <c r="F302" s="297" t="str">
        <f>IF(E302="","",IF(E302&gt;=1.6,0,IF(E302&lt;=1,1,ROUND('Reference Standards'!$S$626*E302^3+'Reference Standards'!$S$627*E302^2+'Reference Standards'!$S$628*E302+'Reference Standards'!$S$629,2))))</f>
        <v/>
      </c>
      <c r="G302" s="508"/>
      <c r="H302" s="535"/>
      <c r="I302" s="523"/>
      <c r="J302" s="523"/>
      <c r="K302" s="523"/>
    </row>
    <row r="303" spans="1:13" ht="15.75" x14ac:dyDescent="0.25">
      <c r="A303" s="466"/>
      <c r="B303" s="292" t="s">
        <v>58</v>
      </c>
      <c r="C303" s="305" t="s">
        <v>57</v>
      </c>
      <c r="D303" s="306"/>
      <c r="E303" s="203"/>
      <c r="F303" s="80" t="str">
        <f>IF(E303="","",IF(AND('Quantification Tool'!B$6="E",'Quantification Tool'!$B$9="Sand",'Quantification Tool'!$B$17="Unconfined Alluvial"),ROUND(IF(OR(E303&gt;1.8,E303&lt;1.3),0,IF(E303&lt;=1.6,1,E303*'Reference Standards'!S$660+'Reference Standards'!S$661)),2),    IF('Quantification Tool'!$B$17="Unconfined Alluvial",ROUND(IF(OR(E303&lt;1.2, E303&gt;1.5),0,IF(E303&lt;=1.4,1,E303*'Reference Standards'!$S$693+'Reference Standards'!$S$694)),2), IF('Quantification Tool'!$B$17="Confined Alluvial",ROUND(IF(E303&lt;1.15,0,IF(E303&lt;=1.4,E303*'Reference Standards'!$S$722+'Reference Standards'!$S$723,1)),2),  IF('Quantification Tool'!$B$17="Colluvial",ROUND(IF(E303&gt;1.3,0,IF(E303&gt;1.2,E303*'Reference Standards'!$S$753+'Reference Standards'!$S$754,1)),2) )))))</f>
        <v/>
      </c>
      <c r="G303" s="102" t="str">
        <f>IFERROR(AVERAGE(F303),"")</f>
        <v/>
      </c>
      <c r="H303" s="535"/>
      <c r="I303" s="523"/>
      <c r="J303" s="523"/>
      <c r="K303" s="523"/>
      <c r="L303" s="13"/>
    </row>
    <row r="304" spans="1:13" ht="15.75" x14ac:dyDescent="0.25">
      <c r="A304" s="527" t="s">
        <v>61</v>
      </c>
      <c r="B304" s="83" t="s">
        <v>103</v>
      </c>
      <c r="C304" s="87" t="s">
        <v>427</v>
      </c>
      <c r="D304" s="87"/>
      <c r="E304" s="53"/>
      <c r="F304" s="82" t="str">
        <f>IF(E304="","",ROUND(IF(E304&gt;=942,0,IF(E304&lt;=487,E304*'Reference Standards'!AB$15+'Reference Standards'!AB$16,E304*'Reference Standards'!$AC$15+'Reference Standards'!$AC$16)),2))</f>
        <v/>
      </c>
      <c r="G304" s="103" t="str">
        <f>IFERROR(AVERAGE(F304),"")</f>
        <v/>
      </c>
      <c r="H304" s="555" t="str">
        <f>IFERROR(ROUND(AVERAGE(G304:G307),2),"")</f>
        <v/>
      </c>
      <c r="I304" s="569" t="str">
        <f>IF(H304="","",IF(H304&gt;0.69,"Functioning",IF(H304&gt;0.29,"Functioning At Risk",IF(H304&gt;-1,"Not Functioning"))))</f>
        <v/>
      </c>
      <c r="J304" s="523"/>
      <c r="K304" s="523"/>
      <c r="L304" s="13"/>
    </row>
    <row r="305" spans="1:12" ht="15.75" x14ac:dyDescent="0.25">
      <c r="A305" s="528"/>
      <c r="B305" s="399" t="s">
        <v>476</v>
      </c>
      <c r="C305" s="81" t="s">
        <v>457</v>
      </c>
      <c r="D305" s="81"/>
      <c r="E305" s="203"/>
      <c r="F305" s="85" t="str">
        <f>IF(E305="","",IF(OR('Quantification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June")),IF(E305&gt;93,0,IF(E305&lt;13,1,ROUND('Reference Standards'!$AB$53*E305^2+'Reference Standards'!$AB$54*E305+'Reference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Tool'!$B$7="73b"),IF(E305&gt;94,0,IF(E305&lt;17,1,ROUND('Reference Standards'!$AC$53*E305^2+'Reference Standards'!$AC$54*E305+'Reference Standards'!$AC$55,2))),    IF(OR(AND(OR('Quantification Tool'!$B$7="68b",'Quantification Tool'!$B$7="71i"),'Quantification Tool'!$B$8&gt;2), 'Quantification Tool'!$B$7="71e"),IF(E305&gt;91,0,IF(E305&lt;24,1,ROUND('Reference Standards'!$AD$53*E305^2+'Reference Standards'!$AD$54*E305+'Reference Standards'!$AD$55,2))),  IF(OR(AND(OR('Quantification Tool'!$B$7="71f",'Quantification Tool'!$B$7="71g",'Quantification Tool'!$B$7="71h",'Quantification Tool'!$B$7="71i"),'Quantification Tool'!$B$8&lt;=2), AND('Quantification Tool'!$B$7="74a",'Quantification Tool'!$B$8&gt;2)),IF(E305&gt;95,0,IF(E305&lt;=36,1,ROUND('Reference Standards'!$AE$53*E305^2+'Reference Standards'!$AE$54*E305+'Reference Standards'!$AE$55,2))))))))</f>
        <v/>
      </c>
      <c r="G305" s="295" t="str">
        <f>IFERROR(AVERAGE(F305:F305),"")</f>
        <v/>
      </c>
      <c r="H305" s="556"/>
      <c r="I305" s="570"/>
      <c r="J305" s="523"/>
      <c r="K305" s="523"/>
      <c r="L305" s="21"/>
    </row>
    <row r="306" spans="1:12" ht="15.75" x14ac:dyDescent="0.25">
      <c r="A306" s="528"/>
      <c r="B306" s="83" t="s">
        <v>93</v>
      </c>
      <c r="C306" s="84" t="s">
        <v>326</v>
      </c>
      <c r="D306" s="84"/>
      <c r="E306" s="202"/>
      <c r="F306" s="85" t="str">
        <f>IF(E306="","",IF(OR('Quantification Tool'!$B$7="66e",'Quantification Tool'!$B$7="66f",'Quantification Tool'!$B$7="66g"), ROUND(IF(E306&gt;=0.61,0,IF(E306&lt;=0.01,1,IF(E306&lt;=0.06,E306*'Reference Standards'!$AD$197+'Reference Standards'!$AD$198,E306^2*'Reference Standards'!$AB$196+E306*'Reference Standards'!$AB$197+'Reference Standards'!$AB$198))),2),  IF('Quantification Tool'!$B$7="68b", ROUND(IF(E306&gt;=1.1,0,IF(E306&lt;=0.17,1,IF(E306&lt;=0.22,E306*'Reference Standards'!$AE$197+'Reference Standards'!$AE$198,E306^2*'Reference Standards'!$AC$196+E306*'Reference Standards'!$AC$197+'Reference Standards'!$AC$198))),2),IF('Quantification Tool'!$B$8&lt;=2.5,   IF('Quantification Tool'!$B$7="69de",ROUND(IF(E306&gt;=0.22,0,IF(E306&lt;=0.01,1,E306^2*'Reference Standards'!$AB$90+E306*'Reference Standards'!$AB$91+'Reference Standards'!$AB$92)),2),   IF('Quantification Tool'!$B$7="68c",ROUND(IF(E306&gt;=0.87,0,IF(E306&lt;=0.01,1,E306^2*'Reference Standards'!$AC$90+E306*'Reference Standards'!$AC$91+'Reference Standards'!$AC$92)),2),   IF('Quantification Tool'!$B$7="68a",ROUND(IF(E306&gt;=0.81,0,IF(E306&lt;=0.01,1,E306^2*'Reference Standards'!$AD$90+E306*'Reference Standards'!$AD$91+'Reference Standards'!$AD$92)),2),   IF('Quantification Tool'!$B$7="65abei",ROUND(IF(E306&gt;=0.67,0,IF(E306&lt;=0.01,1,IF(E306&lt;=0.18,E306*'Reference Standards'!$AG$91+'Reference Standards'!$AG$92,E306*'Reference Standards'!$AE$91+'Reference Standards'!$AE$92))),2),   IF('Quantification Tool'!$B$7="65j",ROUND(IF(E306&gt;=0.32,0,IF(E306&lt;=0.01,1,IF(E306&lt;=0.25,E306*'Reference Standards'!$AH$91+'Reference Standards'!$AH$92,E306*'Reference Standards'!$AF$91+'Reference Standards'!$AF$92))),2),   IF('Quantification Tool'!$B$7="71f",ROUND(IF(E306&gt;=3,0,IF(E306&lt;=0,1,IF(E306&lt;=0.01,0.7,E306^2*'Reference Standards'!$AB$126+E306*'Reference Standards'!$AB$127+'Reference Standards'!$AB$128))),2),   IF('Quantification Tool'!$B$7="74a",ROUND(IF(E306&gt;=0.14,0,IF(E306&lt;=0.01,1,IF(E306&lt;=0.02,0.7,E306^2*'Reference Standards'!$AC$126+E306*'Reference Standards'!$AC$127+'Reference Standards'!$AC$128))),2),   IF(OR('Quantification Tool'!$B$7="67fhi",'Quantification Tool'!$B$7="67g"),ROUND(IF(E306&gt;=1.9,0,IF(E306&lt;=0.01,1,IF(E306&lt;=0.05,E306*'Reference Standards'!$AF$127+'Reference Standards'!$AF$128,E306^2*'Reference Standards'!$AD$126+E306*'Reference Standards'!$AD$127+'Reference Standards'!$AD$128))),2),   IF('Quantification Tool'!$B$7="73a",ROUND(IF(E306&gt;=1.44,0,IF(E306&lt;=0.01,1,IF(E306&lt;=0.12,E306*'Reference Standards'!$AG$127+'Reference Standards'!$AG$128,E306^2*'Reference Standards'!$AE$126+E306*'Reference Standards'!$AE$127+'Reference Standards'!$AE$128))),2),   IF('Quantification Tool'!$B$7="66d",ROUND(IF(E306&gt;=0.46,0,IF(E306&lt;=0.02,1,IF(E306&lt;=0.08,E306*'Reference Standards'!$AF$163+'Reference Standards'!$AF$164,E306^2*'Reference Standards'!$AB$162+E306*'Reference Standards'!$AB$163+'Reference Standards'!$AB$164))),2),   IF(OR('Quantification Tool'!$B$7="71g",'Quantification Tool'!$B$7="71h",'Quantification Tool'!$B$7="71i"),ROUND(IF(E306&gt;=3,0,IF(E306&lt;=0.06,1,IF(E306&lt;=0.24,E306*'Reference Standards'!$AG$163+'Reference Standards'!$AG$164, E306^2*'Reference Standards'!$AC$162+E306*'Reference Standards'!$AC$163+'Reference Standards'!$AC$164))),2),   IF('Quantification Tool'!$B$7="74b",ROUND(IF(E306&gt;=1.3,0,IF(E306&lt;=0.29,1,IF(E306&lt;=0.48,E306*'Reference Standards'!$AH$163+'Reference Standards'!$AH$164,E306^2*'Reference Standards'!$AD$162+E306*'Reference Standards'!$AD$163+'Reference Standards'!$AD$164))),2),   IF('Quantification Tool'!$B$7="71e",ROUND(IF(E306&gt;=4.3,0,IF(E306&lt;=0.53,1,IF(E306&lt;=0.67,E306*'Reference Standards'!$AI$163+'Reference Standards'!$AI$164,E306^2*'Reference Standards'!$AE$162+E306*'Reference Standards'!$AE$163+'Reference Standards'!$AE$164))),2)       ))))))))))))),IF('Quantification Tool'!$B$8&gt;2.5,    IF('Quantification Tool'!$B$7="73a",ROUND(IF(E306&gt;=0.55,0,IF(E306&lt;=0,1,E306^2*'Reference Standards'!$AB$232+E306*'Reference Standards'!$AB$233+'Reference Standards'!$AB$234)),2),   IF('Quantification Tool'!$B$7="68a",ROUND(IF(E306&gt;=0.54,0,IF(E306&lt;=0,1, IF(E306&lt;=0.01,0.85, E306^2*'Reference Standards'!$AC$232+E306*'Reference Standards'!$AC$233+'Reference Standards'!$AC$234))),2),   IF('Quantification Tool'!$B$7="74a",ROUND(IF(E306&gt;=0.47,0,IF(E306&lt;=0.01,1, IF(E306&lt;=0.02,0.7, E306^2*'Reference Standards'!$AD$232+E306*'Reference Standards'!$AD$233+'Reference Standards'!$AD$234))),2),    IF('Quantification Tool'!$B$7="69de",ROUND(IF(E306&gt;=0.26,0,IF(E306&lt;=0.01,1, IF(E306&lt;=0.02,0.85, E306^2*'Reference Standards'!$AE$232+E306*'Reference Standards'!$AE$233+'Reference Standards'!$AE$234))),2),   IF('Quantification Tool'!$B$7="71f",ROUND(IF(E306&gt;=0.87,0,IF(E306&lt;=0.01,1,IF(E306&lt;=0.04,E306*'Reference Standards'!$AF$269+'Reference Standards'!$AF$270,E306^2*'Reference Standards'!$AB$268+E306*'Reference Standards'!$AB$269+'Reference Standards'!$AB$270))),2),  IF('Quantification Tool'!$B$7="65abei",ROUND(IF(E306&gt;=0.82,0,IF(E306&lt;=0.01,1,IF(E306&lt;=0.06,E306*'Reference Standards'!$AG$269+'Reference Standards'!$AG$270,E306^2*'Reference Standards'!$AC$268+E306*'Reference Standards'!$AC$269+'Reference Standards'!$AC$270))),2),  IF('Quantification Tool'!$B$7="65j",ROUND(IF(E306&gt;=0.33,0,IF(E306&lt;=0.03,1,IF(E306&lt;=0.09,E306*'Reference Standards'!$AH$269+'Reference Standards'!$AH$270,E306^2*'Reference Standards'!$AD$268+E306*'Reference Standards'!$AD$269+'Reference Standards'!$AD$270))),2),  IF('Quantification Tool'!$B$7="68c",ROUND(IF(E306&gt;=0.7,0,IF(E306&lt;=0.07,1,IF(E306&lt;=0.12,E306*'Reference Standards'!$AI$269+'Reference Standards'!$AI$270,E306^2*'Reference Standards'!$AE$268+E306*'Reference Standards'!$AE$269+'Reference Standards'!$AE$270))),2),   IF(OR('Quantification Tool'!$B$7="67fhi",'Quantification Tool'!$B$7="67g"),ROUND(IF(E306&gt;=1.8,0,IF(E306&lt;=0.08,1,IF(E306&lt;=0.2,E306*'Reference Standards'!$AF$306+'Reference Standards'!$AF$307,E306^2*'Reference Standards'!$AB$305+E306*'Reference Standards'!$AB$306+'Reference Standards'!$AB$307))),2),   IF('Quantification Tool'!$B$7="74b",ROUND(IF(E306&gt;=0.96,0,IF(E306&lt;=0.12,1,IF(E306&lt;=0.16,E306*'Reference Standards'!$AG$306+'Reference Standards'!$AG$307,E306^2*'Reference Standards'!$AC$305+E306*'Reference Standards'!$AC$306+'Reference Standards'!$AC$307))),2),   IF('Quantification Tool'!$B$7="66d",ROUND(IF(E306&gt;=0.75,0,IF(E306&lt;=0.13,1,IF(E306&lt;=0.2,E306*'Reference Standards'!$AH$306+'Reference Standards'!$AH$307,E306^2*'Reference Standards'!$AD$305+E306*'Reference Standards'!$AD$306+'Reference Standards'!$AD$307))),2),    IF(OR('Quantification Tool'!$B$7="71g",'Quantification Tool'!$B$7="71h",'Quantification Tool'!$B$7="71i"),ROUND(IF(E306&gt;=1.68,0,IF(E306&lt;=0.08,1,IF(E306&lt;=0.23,E306*'Reference Standards'!$AI$306+'Reference Standards'!$AI$307,E306^2*'Reference Standards'!$AE$305+E306*'Reference Standards'!$AE$306+'Reference Standards'!$AE$307))),2),   IF('Quantification Tool'!$B$7="71e",ROUND(IF(E306&gt;=5.3,0,IF(E306&lt;=0.94,1,IF(E306&lt;=1.4,E306*'Reference Standards'!$AF$310+'Reference Standards'!$AF$311,E306^2*'Reference Standards'!$AB$309+E306*'Reference Standards'!$AB$310+'Reference Standards'!$AB$311))),2))    )))))))))))))))))</f>
        <v/>
      </c>
      <c r="G306" s="104" t="str">
        <f>IFERROR(AVERAGE(F306),"")</f>
        <v/>
      </c>
      <c r="H306" s="556"/>
      <c r="I306" s="570"/>
      <c r="J306" s="523"/>
      <c r="K306" s="523"/>
      <c r="L306" s="21"/>
    </row>
    <row r="307" spans="1:12" ht="15.75" x14ac:dyDescent="0.25">
      <c r="A307" s="529"/>
      <c r="B307" s="293" t="s">
        <v>94</v>
      </c>
      <c r="C307" s="81" t="s">
        <v>325</v>
      </c>
      <c r="D307" s="81"/>
      <c r="E307" s="167"/>
      <c r="F307" s="82" t="str">
        <f>IF(E307="","",IF('Quantification Tool'!$B$8&gt;2.5,IF(OR('Quantification Tool'!$B$7="71h",'Quantification Tool'!$B$7="71i",'Quantification Tool'!$B$7="73a",'Quantification Tool'!$B$7="74a"),IF(E307&lt;=0.01,1,IF(OR('Quantification Tool'!$B$7="71h",'Quantification Tool'!$B$7="71i"),IF(E307&gt;0.37,0,ROUND(IF(E307&gt;0.03,'Reference Standards'!$AB$425*E307^2+'Reference Standards'!$AB$426*E307+'Reference Standards'!$AB$427,'Reference Standards'!$AF$426*E307+'Reference Standards'!$AF$427),2)),  IF('Quantification Tool'!$B$7="73a",IF(E307&gt;0.405,0,ROUND(IF(E307&gt;0.046,'Reference Standards'!$AC$425*E307^2+'Reference Standards'!$AC$426*E307+'Reference Standards'!$AC$427,'Reference Standards'!$AG$426*E307+'Reference Standards'!$AG$427),2)),IF('Quantification Tool'!$B$7="74a",IF(E307&gt;0.3,0,ROUND(IF(E307&gt;0.052,'Reference Standards'!$AD$425*E307^2+'Reference Standards'!$AD$426*E307+'Reference Standards'!$AD$427,'Reference Standards'!$AH$426*E307+'Reference Standards'!$AH$427),2)))))),   IF(E307&lt;=0.002,1,IF(OR('Quantification Tool'!$B$7="66d",'Quantification Tool'!$B$7="66e",'Quantification Tool'!$B$7="66g"),IF(E307&gt;0.053,0,ROUND(E307^2*'Reference Standards'!$AB$347+E307*'Reference Standards'!$AB$348+'Reference Standards'!$AB$349,2)), IF('Quantification Tool'!$B$7="68b",IF(E307&gt;0.05,0,ROUND(E307^2*'Reference Standards'!$AC$347+E307*'Reference Standards'!$AC$348+'Reference Standards'!$AC$349,2)),  IF(OR('Quantification Tool'!$B$7="68a",'Quantification Tool'!$B$7="68c"),IF(E307&gt;0.07,0,ROUND(E307^2*'Reference Standards'!$AD$347+E307*'Reference Standards'!$AD$348+'Reference Standards'!$AD$349,2)), IF(OR('Quantification Tool'!$B$7="71f",'Quantification Tool'!$B$7="71g"),IF(E307&gt;0.13,0,ROUND(IF(E307&gt;0.042,E307*'Reference Standards'!$AE$348+'Reference Standards'!$AE$349,E307*'Reference Standards'!$AF$348+'Reference Standards'!$AF$349),2)), IF('Quantification Tool'!$B$7="67fhi",IF(E307&gt;0.16,0,ROUND(E307^2*'Reference Standards'!$AG$347+E307*'Reference Standards'!$AG$348+'Reference Standards'!$AG$349,2)),  IF('Quantification Tool'!$B$7="65j",IF(E307&gt;0.035,0,ROUND(IF(E307&lt;=0.003,0.7,E307^2*'Reference Standards'!$AB$387+E307*'Reference Standards'!$AB$388+'Reference Standards'!$AB$389),2)),IF('Quantification Tool'!$B$7="69de",IF(E307&gt;0.037,0,ROUND(IF(E307&lt;=0.003,0.7,E307^2*'Reference Standards'!$AC$387+E307*'Reference Standards'!$AC$388+'Reference Standards'!$AC$389),2)),IF('Quantification Tool'!$B$7="71e",IF(E307&gt;0.23,0,ROUND(IF(E307&lt;=0.003,0.7,E307^2*'Reference Standards'!$AD$387+E307*'Reference Standards'!$AD$388+'Reference Standards'!$AD$389),2)),IF('Quantification Tool'!$B$7="66f",IF(E307&gt;0.06,0,ROUND(IF(E307&lt;=0.003,0.85,IF(E307&lt;=0.004,0.7,E307^2*'Reference Standards'!$AE$387+E307*'Reference Standards'!$AE$388+'Reference Standards'!$AE$389)),2)),IF('Quantification Tool'!$B$7="67g",IF(E307&gt;0.11,0,ROUND(IF(E307&lt;=0.01,E307*'Reference Standards'!$AH$388+'Reference Standards'!$AH$389, E307^2*'Reference Standards'!$AF$387+E307*'Reference Standards'!$AF$388+'Reference Standards'!$AF$389),2)),IF('Quantification Tool'!$B$7="74b",IF(E307&gt;0.49,0,ROUND(IF(E307&lt;=0.01,E307*'Reference Standards'!$AH$388+'Reference Standards'!$AH$389, E307^2*'Reference Standards'!$AG$387+E307*'Reference Standards'!$AG$388+'Reference Standards'!$AG$389),2)),IF('Quantification Tool'!$B$7="65abei",IF(E307&gt;0.199,0,ROUND(IF(E307&lt;=0.01,E307*'Reference Standards'!$AI$426+'Reference Standards'!$AI$427, E307^2*'Reference Standards'!$AE$425+E307*'Reference Standards'!$AE$426+'Reference Standards'!$AE$427),2))    )))))))))))))),      IF('Quantification Tool'!$B$8&lt;=2.5, IF(OR('Quantification Tool'!$B$7="66d",'Quantification Tool'!$B$7="66e",'Quantification Tool'!$B$7="66g"),IF(E307&gt;0.05,0,ROUND(IF(E307&lt;=0.002,1,IF(E307&lt;=0.005,E307*'Reference Standards'!$AF$464+'Reference Standards'!$AF$465, E307^2*'Reference Standards'!$AB$463+E307*'Reference Standards'!$AB$464+'Reference Standards'!$AB$465)),2)), IF('Quantification Tool'!$B$7="67fhi",IF(E307&gt;0.1,0,ROUND(IF(E307&lt;=0.002,1,IF(E307&lt;=0.006,E307*'Reference Standards'!$AG$464+'Reference Standards'!$AG$465, E307^2*'Reference Standards'!$AC$463+E307*'Reference Standards'!$AC$464+'Reference Standards'!$AC$465)),2)), IF('Quantification Tool'!$B$7="65abei",IF(E307&gt;0.13,0,ROUND(IF(E307&lt;=0.003,1,IF(E307&lt;=0.008,E307*'Reference Standards'!$AH$464+'Reference Standards'!$AH$465, E307^2*'Reference Standards'!$AD$463+E307*'Reference Standards'!$AD$464+'Reference Standards'!$AD$465)),2)), IF('Quantification Tool'!$B$7="68b",IF(E307&gt;0.043,0,ROUND(IF(E307&lt;=0.004,1, IF(E307&lt;=0.005,0.7, E307^2*'Reference Standards'!$AE$463+E307*'Reference Standards'!$AE$464+'Reference Standards'!$AE$465)),2)), IF('Quantification Tool'!$B$7="69de",IF(E307&gt;=0.034,0,ROUND(IF(E307&lt;=0.003,1, IF(E307&lt;=0.006,E307*'Reference Standards'!$AG$500+'Reference Standards'!$AG$501, E307*'Reference Standards'!$AB$500+'Reference Standards'!$AB$501)),2)), IF(OR('Quantification Tool'!$B$7="68a",'Quantification Tool'!$B$7="68c"),IF(E307&gt;0.202,0,ROUND(IF(E307&lt;=0.003,1, IF(E307&lt;=0.006,E307*'Reference Standards'!$AG$500+'Reference Standards'!$AG$501, IF(E307&gt;=0.04,E307*'Reference Standards'!$AC$500+'Reference Standards'!$AC$501,E307*'Reference Standards'!$AE$500+'Reference Standards'!$AE$501))),2)), IF(OR('Quantification Tool'!$B$7="71f",'Quantification Tool'!$B$7="71g"),IF(E307&gt;0.631,0,ROUND(IF(E307&lt;=0.003,1, IF(E307&lt;=0.006,E307*'Reference Standards'!$AG$500+'Reference Standards'!$AG$501, IF(E307&gt;=0.17,E307*'Reference Standards'!$AD$500+'Reference Standards'!$AD$501,E307*'Reference Standards'!$AF$500+'Reference Standards'!$AF$501))),2)),   IF('Quantification Tool'!$B$7="71e",IF(E307&gt;1.23,0,ROUND(IF(E307&lt;=0.004,1,IF(E307&lt;=0.006,E307*'Reference Standards'!$AF$538+'Reference Standards'!$AF$539, E307^2*'Reference Standards'!$AB$537+E307*'Reference Standards'!$AB$538+'Reference Standards'!$AB$539)),2)), IF('Quantification Tool'!$B$7="67g",IF(E307&gt;0.11,0,ROUND(IF(E307&lt;=0.006,1,IF(E307&lt;=0.011,E307*'Reference Standards'!$AG$538+'Reference Standards'!$AG$539, E307^2*'Reference Standards'!$AC$537+E307*'Reference Standards'!$AC$538+'Reference Standards'!$AC$539)),2)), IF('Quantification Tool'!$B$7="65j",IF(E307&gt;0.046,0,ROUND(IF(E307&lt;=0.007,1,IF(E307&lt;=0.012,E307*'Reference Standards'!$AH$538+'Reference Standards'!$AH$539, E307^2*'Reference Standards'!$AD$537+E307*'Reference Standards'!$AD$538+'Reference Standards'!$AD$539)),2)), IF('Quantification Tool'!$B$7="66f",IF(E307&gt;0.081,0,ROUND(IF(E307&lt;=0.008,1,IF(E307&lt;=0.011,E307*'Reference Standards'!$AI$538+'Reference Standards'!$AI$539, E307^2*'Reference Standards'!$AE$537+E307*'Reference Standards'!$AE$538+'Reference Standards'!$AE$539)),2)), IF(OR('Quantification Tool'!$B$7="71h",'Quantification Tool'!$B$7="71i"),IF(E307&gt;0.37,0,ROUND(IF(E307&lt;=0.013,1,IF(E307&lt;=0.032,E307*'Reference Standards'!$AH$576+'Reference Standards'!$AH$577, IF(E307&lt;=0.3,E307*'Reference Standards'!$AF$576+'Reference Standards'!$AF$577,E307*'Reference Standards'!$AB$576+'Reference Standards'!$AB$577))),2)), IF('Quantification Tool'!$B$7="73a",IF(E307&gt;0.448,0,ROUND(IF(E307&lt;=0.071,1,IF(E307&lt;=0.086,E307*'Reference Standards'!$AJ$576+'Reference Standards'!$AJ$577, IF(E307&lt;=0.165,E307*'Reference Standards'!$AG$576+'Reference Standards'!$AG$577,E307*'Reference Standards'!$AE$576+'Reference Standards'!$AE$577))),2)),  IF('Quantification Tool'!$B$7="74b",IF(E307&gt;0.43,0,ROUND(IF(E307&lt;=0.018,1,IF(E307&lt;=0.019,0.85, IF(E307&lt;=0.02,0.7, E307^2*'Reference Standards'!$AC$575+E307*'Reference Standards'!$AC$576+'Reference Standards'!$AC$577))),2)), IF('Quantification Tool'!$B$7="74a",IF(E307&gt;0.217,0,ROUND(IF(E307&lt;=0.02,1,IF(E307&lt;=0.033,E307*'Reference Standards'!$AI$576+'Reference Standards'!$AI$577, E307^2*'Reference Standards'!$AD$575+E307*'Reference Standards'!$AD$576+'Reference Standards'!$AD$577)),2))     ))))))))))))))))))</f>
        <v/>
      </c>
      <c r="G307" s="105" t="str">
        <f>IFERROR(AVERAGE(F307),"")</f>
        <v/>
      </c>
      <c r="H307" s="557"/>
      <c r="I307" s="571"/>
      <c r="J307" s="523"/>
      <c r="K307" s="523"/>
      <c r="L307" s="21"/>
    </row>
    <row r="308" spans="1:12" ht="15.75" x14ac:dyDescent="0.25">
      <c r="A308" s="538" t="s">
        <v>62</v>
      </c>
      <c r="B308" s="517" t="s">
        <v>432</v>
      </c>
      <c r="C308" s="154" t="s">
        <v>419</v>
      </c>
      <c r="D308" s="155"/>
      <c r="E308" s="209"/>
      <c r="F308" s="219" t="str">
        <f>IF(E308="","",IF(OR('Quantification Tool'!B$7="73a",'Quantification Tool'!B$7="73b"),IF(E308&lt;1,0,IF(E308&gt;=30,1,ROUND(IF(E308&lt;22,'Reference Standards'!$AL$16*E308+'Reference Standards'!$AL$17,'Reference Standards'!$AM$16*E308+'Reference Standards'!$AM$17),2))), IF(E308&lt;1,0, IF(E308&gt;=42,1, ROUND(IF(E308&lt;32,'Reference Standards'!$AN$16*E308+'Reference Standards'!$AN$17,'Reference Standards'!$AO$16*E308+'Reference Standards'!$AO$17),2)))))</f>
        <v/>
      </c>
      <c r="G308" s="558" t="str">
        <f>IFERROR(AVERAGE(F308:F311),"")</f>
        <v/>
      </c>
      <c r="H308" s="537" t="str">
        <f>IFERROR(ROUND(AVERAGE(G308:G313),2),"")</f>
        <v/>
      </c>
      <c r="I308" s="572" t="str">
        <f>IF(H308="","",IF(H308&gt;0.69,"Functioning",IF(H308&gt;0.29,"Functioning At Risk",IF(H308&gt;-1,"Not Functioning"))))</f>
        <v/>
      </c>
      <c r="J308" s="523"/>
      <c r="K308" s="523"/>
      <c r="L308" s="21"/>
    </row>
    <row r="309" spans="1:12" ht="15.75" x14ac:dyDescent="0.25">
      <c r="A309" s="539"/>
      <c r="B309" s="518"/>
      <c r="C309" s="217" t="s">
        <v>424</v>
      </c>
      <c r="D309" s="218"/>
      <c r="E309" s="208"/>
      <c r="F309" s="221" t="str">
        <f>IF(E309="","",IF(AND('Quantification Tool'!$B$7="74b",'Quantification Tool'!$B$8&lt;=2),IF(E309&lt;0,0,IF(E309&gt;15.6,0.69,ROUND('Reference Standards'!$AL$54*E309^2+'Reference Standards'!$AL$55*E309+'Reference Standards'!$AL$56,2))),IF(AND('Quantification Tool'!$B$7="65abei",'Quantification Tool'!$B$8&lt;=2),IF(E309&lt;0,0,IF(E309&gt;=20,0.69,ROUND('Reference Standards'!$AM$54*E309^2+'Reference Standards'!$AM$55*E309+'Reference Standards'!$AM$56,2))),IF(OR(AND('Quantification Tool'!$B$7="74a",'Quantification Tool'!$B$8&gt;2,'Quantification Tool'!$B$14="January - June"),AND('Quantification Tool'!$B$7="71i",'Quantification Tool'!$B$8&gt;2,'Quantification Tool'!$B$15="SQBANK")),IF(E309&lt;0,0,IF(E309&gt;24.7,0.69,ROUND('Reference Standards'!$AN$54*E309^2+'Reference Standards'!$AN$55*E309+'Reference Standards'!$AN$56,2))),IF(OR('Quantification Tool'!$B$7="74b",'Quantification Tool'!$B$7="65abei"),IF(E309&lt;0,0,IF(E309&gt;32.7,0.69,ROUND('Reference Standards'!$AO$54*E309^2+'Reference Standards'!$AO$55*E309+'Reference Standards'!$AO$56,2))),IF(AND('Quantification Tool'!$B$7="68b",'Quantification Tool'!$B$8&gt;2),IF(E309&lt;0,0,IF(E309&gt;41.2,0.69,ROUND('Reference Standards'!$AP$54*E309^2+'Reference Standards'!$AP$55*E309+'Reference Standards'!$AP$56,2))),IF(OR(AND('Quantification Tool'!$B$7="71i",'Quantification Tool'!$B$8&lt;=2),AND(OR('Quantification Tool'!$B$7="68c",'Quantification Tool'!$B$7="68d"),'Quantification Tool'!$B$14="January - June")),IF(E309&lt;0,0,IF(E309&gt;49.2,0.69,ROUND('Reference Standards'!$AL$94*E309^2+'Reference Standards'!$AL$95*E309+'Reference Standards'!$AL$96,2))),IF(OR(AND('Quantification Tool'!$B$7="68a",'Quantification Tool'!$B$14="January - June"),AND(OR('Quantification Tool'!$B$7="68c",'Quantification Tool'!$B$7="68d"),'Quantification Tool'!$B$14="July - December")),IF(E309&lt;0,0,IF(E309&gt;53.4,0.69,ROUND('Reference Standards'!$AM$94*E309^2+'Reference Standards'!$AM$95*E309+'Reference Standards'!$AM$96,2))),IF(OR(AND('Quantification Tool'!$B$7="71i",'Quantification Tool'!$B$8&gt;2,'Quantification Tool'!$B$15="SQKICK"),AND(OR('Quantification Tool'!$B$7="67fhi",'Quantification Tool'!$B$7="67g"),'Quantification Tool'!$B$8&lt;=2),'Quantification Tool'!$B$7="65j"),IF(E309&lt;0,0,IF(E309&gt;57.8,0.69,ROUND('Reference Standards'!$AN$94*E309^2+'Reference Standards'!$AN$95*E309+'Reference Standards'!$AN$96,2))),IF(OR(AND('Quantification Tool'!$B$7="74a",'Quantification Tool'!$B$8&gt;2,'Quantification Tool'!$B$14="July - December"),AND(OR('Quantification Tool'!$B$7="67fhi",'Quantification Tool'!$B$7="67g"),'Quantification Tool'!$B$8&gt;2),'Quantification Tool'!$B$7="69de"),IF(E309&lt;0,0,IF(E309&gt;62.5,0.69,ROUND('Reference Standards'!$AO$94*E309^2+'Reference Standards'!$AO$95*E309+'Reference Standards'!$AO$96,2))),  IF(OR('Quantification Tool'!$B$7="66d",'Quantification Tool'!$B$7="66e",'Quantification Tool'!$B$7="66ik",'Quantification Tool'!$B$7="71e",'Quantification Tool'!$B$7="71f",'Quantification Tool'!$B$7="71g",'Quantification Tool'!$B$7="71h"),IF(E309&lt;0,0,IF(E309&gt;66.5,0.69,ROUND('Reference Standards'!$AP$94*E309^2+'Reference Standards'!$AP$95*E309+'Reference Standards'!$AP$96,2))),IF(OR('Quantification Tool'!$B$7="66f",'Quantification Tool'!$B$7="66g",'Quantification Tool'!$B$7="66j",AND('Quantification Tool'!$B$7="68a",'Quantification Tool'!$B$14="July - December")), IF(E309&lt;0,0,IF(E309&gt;69,0.69,ROUND('Reference Standards'!$AQ$94*E309^2+'Reference Standards'!$AQ$95*E309+'Reference Standards'!$AQ$96,2))))   )))))))))))</f>
        <v/>
      </c>
      <c r="G309" s="558"/>
      <c r="H309" s="537"/>
      <c r="I309" s="572"/>
      <c r="J309" s="523"/>
      <c r="K309" s="523"/>
      <c r="L309" s="21"/>
    </row>
    <row r="310" spans="1:12" ht="15.75" x14ac:dyDescent="0.25">
      <c r="A310" s="539"/>
      <c r="B310" s="518"/>
      <c r="C310" s="217" t="s">
        <v>428</v>
      </c>
      <c r="D310" s="218"/>
      <c r="E310" s="208"/>
      <c r="F310" s="221" t="str">
        <f>IF(E310="","",IF(AND('Quantification Tool'!$B$7="74b",'Quantification Tool'!$B$8&lt;=2),IF(E310&lt;0,0,IF(E310&gt;8.1,0.69,ROUND('Reference Standards'!$AL$131*E310^2+'Reference Standards'!$AL$132*E310+'Reference Standards'!$AL$133,2))),IF(OR('Quantification Tool'!$B$7="73a",'Quantification Tool'!$B$7="73b"),IF(E310&lt;0,0,IF(E310&gt;=28,0.69,ROUND('Reference Standards'!$AM$131*E310^2+'Reference Standards'!$AM$132*E310+'Reference Standards'!$AM$133,2))),IF(AND('Quantification Tool'!$B$7="74a",'Quantification Tool'!$B$8&gt;2,'Quantification Tool'!$B$14="January - June"),IF(E310&lt;0,0,IF(E310&gt;=32.5,0.69,ROUND('Reference Standards'!$AN$131*E310^2+'Reference Standards'!$AN$132*E310+'Reference Standards'!$AN$133,2))),IF(AND('Quantification Tool'!$B$7="71i",'Quantification Tool'!$B$8&gt;2,'Quantification Tool'!$B$15="SQBANK"),IF(E310&lt;0,0,IF(E310&gt;=37,0.69,ROUND('Reference Standards'!$AO$131*E310^2+'Reference Standards'!$AO$132*E310+'Reference Standards'!$AO$133,2))),IF(OR(AND(OR('Quantification Tool'!$B$7="65abei",'Quantification Tool'!$B$7="74b"),'Quantification Tool'!$B$8&gt;2),AND('Quantification Tool'!$B$7="71i",'Quantification Tool'!$B$8&gt;2,'Quantification Tool'!$B$15="SQKICK")),IF(E310&lt;0,0,IF(E310&gt;42.6,0.69,ROUND('Reference Standards'!$AP$131*E310^2+'Reference Standards'!$AP$132*E310+'Reference Standards'!$AP$133,2))),     IF(OR(AND('Quantification Tool'!$B$7="65abei",'Quantification Tool'!$B$8&lt;=2),AND(OR('Quantification Tool'!$B$7="68c",'Quantification Tool'!$B$7="68d"),'Quantification Tool'!$B$14="July - December"),'Quantification Tool'!$B$7="71e"),IF(E310&lt;0,0,IF(E310&gt;=48,0.69,ROUND('Reference Standards'!$AL$171*E310^2+'Reference Standards'!$AL$172*E310+'Reference Standards'!$AL$173,2))),IF(OR('Quantification Tool'!$B$7="65j",'Quantification Tool'!$B$7="67fhi",'Quantification Tool'!$B$7="67g",AND('Quantification Tool'!$B$7="74a",'Quantification Tool'!$B$14="July - December",'Quantification Tool'!$B$8&gt;2),AND('Quantification Tool'!$B$7="71i",'Quantification Tool'!$B$8&lt;=2)),IF(E310&lt;0,0,IF(E310&gt;=53,0.69,ROUND('Reference Standards'!$AM$171*E310^2+'Reference Standards'!$AM$172*E310+'Reference Standards'!$AM$173,2))),IF(OR(AND(OR('Quantification Tool'!$B$7="68b",'Quantification Tool'!$B$7="71f",'Quantification Tool'!$B$7="71g",'Quantification Tool'!$B$7="71h"),'Quantification Tool'!$B$8&gt;2),'Quantification Tool'!$B$7="68a"),IF(E310&lt;0,0,IF(E310&gt;=57,0.69,ROUND('Reference Standards'!$AN$171*E310^2+'Reference Standards'!$AN$172*E310+'Reference Standards'!$AN$173,2))),IF(OR('Quantification Tool'!$B$7="66f",'Quantification Tool'!$B$7="66g",'Quantification Tool'!$B$7="66j",AND(OR('Quantification Tool'!$B$7="71f",'Quantification Tool'!$B$7="71g",'Quantification Tool'!$B$7="71h"),'Quantification Tool'!$B$8&lt;=2)),IF(E310&lt;0,0,IF(E310&gt;=60,0.69,ROUND('Reference Standards'!$AO$171*E310^2+'Reference Standards'!$AO$172*E310+'Reference Standards'!$AO$173,2))),  IF(OR('Quantification Tool'!$B$7="66d",'Quantification Tool'!$B$7="66e",'Quantification Tool'!$B$7="66ik", AND(OR('Quantification Tool'!$B$7="68c",'Quantification Tool'!$B$7="68d"),'Quantification Tool'!$B$14="January - June"),AND('Quantification Tool'!$B$7="69de",'Quantification Tool'!$B$14="July - December")),IF(E310&lt;0,0,IF(E310&gt;=67.5,0.69,ROUND('Reference Standards'!$AP$171*E310^2+'Reference Standards'!$AP$172*E310+'Reference Standards'!$AP$173,2))),IF(AND('Quantification Tool'!$B$7="69de",'Quantification Tool'!$B$14="January - June"), IF(E310&lt;0,0,IF(E310&gt;=72,0.69,ROUND('Reference Standards'!$AQ$171*E310^2+'Reference Standards'!$AQ$172*E310+'Reference Standards'!$AQ$173,2))))   )))))))))))</f>
        <v/>
      </c>
      <c r="G310" s="558"/>
      <c r="H310" s="537"/>
      <c r="I310" s="572"/>
      <c r="J310" s="523"/>
      <c r="K310" s="523"/>
      <c r="L310" s="21"/>
    </row>
    <row r="311" spans="1:12" ht="15.75" x14ac:dyDescent="0.25">
      <c r="A311" s="539"/>
      <c r="B311" s="519"/>
      <c r="C311" s="156" t="s">
        <v>425</v>
      </c>
      <c r="D311" s="88"/>
      <c r="E311" s="210"/>
      <c r="F311" s="221" t="str">
        <f>IF(E311="","",IF(OR('Quantification Tool'!$B$7="67fhi",'Quantification Tool'!$B$7="67g",'Quantification Tool'!$B$7="71e",'Quantification Tool'!$B$7="73a",'Quantification Tool'!$B$7="73b",AND(OR('Quantification Tool'!$B$7="71f",'Quantification Tool'!$B$7="71g",'Quantification Tool'!$B$7="71h"),'Quantification Tool'!$B$8&gt;2)),IF(E311&gt;100,0,IF(E311&lt;15,0.69,ROUND('Reference Standards'!$AL$208*E311^2+'Reference Standards'!$AL$209*E311+'Reference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),IF(E311&gt;100,0,IF(E311&lt;19,0.69,ROUND('Reference Standards'!$AM$208*E311^2+'Reference Standards'!$AM$209*E311+'Reference Standards'!$AM$210,2))),    IF(OR(AND('Quantification Tool'!$B$7="69de",'Quantification Tool'!$B$14="January - June"),AND('Quantification Tool'!$B$7="71i",'Quantification Tool'!$B$8&gt;2,'Quantification Tool'!$B$15="SQKICK" )),IF(E311&gt;100,0,IF(E311&lt;22,0.69,ROUND('Reference Standards'!$AN$208*E311^2+'Reference Standards'!$AN$209*E311+'Reference Standards'!$AN$210,2))),    IF(OR('Quantification Tool'!$B$7="65j",AND('Quantification Tool'!$B$7="68b",'Quantification Tool'!$B$8&gt;2)),IF(E311&gt;100,0,IF(E311&lt;24,0.69,ROUND('Reference Standards'!$AO$208*E311^2+'Reference Standards'!$AO$209*E311+'Reference Standards'!$AO$210,2))),    IF(AND(OR('Quantification Tool'!$B$7="65abei",'Quantification Tool'!$B$7="71f",'Quantification Tool'!$B$7="71g",'Quantification Tool'!$B$7="71h"),'Quantification Tool'!$B$8&lt;=2),IF(E311&gt;95,0,IF(E311&lt;33,0.69,ROUND('Reference Standards'!$AL$246*E311^2+'Reference Standards'!$AL$247*E311+'Reference Standards'!$AL$248,2))),   IF(AND(OR('Quantification Tool'!$B$7="65abei",'Quantification Tool'!$B$7="74b"),'Quantification Tool'!$B$8&gt;2),IF(E311&gt;97,0,IF(E311&lt;36,0.69,ROUND('Reference Standards'!$AM$246*E311^2+'Reference Standards'!$AM$247*E311+'Reference Standards'!$AM$248,2))),  IF(AND('Quantification Tool'!$B$7="74a",'Quantification Tool'!$B$14="January - June",'Quantification Tool'!$B$8&gt;2),IF(E311&gt;93,0,IF(E311&lt;52,0.69,ROUND('Reference Standards'!$AN$246*E311^2+'Reference Standards'!$AN$247*E311+'Reference Standards'!$AN$248,2))),   IF(AND('Quantification Tool'!$B$7="74b",'Quantification Tool'!$B$8&lt;=2),IF(E311&gt;97,0,IF(E311&lt;62,0.69,ROUND('Reference Standards'!$AO$246*E311^2+'Reference Standards'!$AO$247*E311+'Reference Standards'!$AO$248,2)))  )))))))))</f>
        <v/>
      </c>
      <c r="G311" s="558"/>
      <c r="H311" s="537"/>
      <c r="I311" s="572"/>
      <c r="J311" s="523"/>
      <c r="K311" s="523"/>
      <c r="L311" s="21"/>
    </row>
    <row r="312" spans="1:12" ht="15.75" x14ac:dyDescent="0.25">
      <c r="A312" s="539"/>
      <c r="B312" s="530" t="s">
        <v>86</v>
      </c>
      <c r="C312" s="154" t="s">
        <v>255</v>
      </c>
      <c r="D312" s="155"/>
      <c r="E312" s="209"/>
      <c r="F312" s="219" t="str">
        <f>IF(E312="","",IF(E312=1,0.15,IF(E312=3,0.5,IF(E312=5,0.85,0))))</f>
        <v/>
      </c>
      <c r="G312" s="531" t="str">
        <f>IFERROR(AVERAGE(F312:F313),"")</f>
        <v/>
      </c>
      <c r="H312" s="537"/>
      <c r="I312" s="572"/>
      <c r="J312" s="523"/>
      <c r="K312" s="523"/>
      <c r="L312" s="21"/>
    </row>
    <row r="313" spans="1:12" ht="15.75" x14ac:dyDescent="0.25">
      <c r="A313" s="540"/>
      <c r="B313" s="530"/>
      <c r="C313" s="156" t="s">
        <v>420</v>
      </c>
      <c r="D313" s="88"/>
      <c r="E313" s="210"/>
      <c r="F313" s="220" t="str">
        <f>IF(E313="","",IF(E313=1,0.15,IF(E313=3,0.5,IF(E313=5,0.85,0))))</f>
        <v/>
      </c>
      <c r="G313" s="532"/>
      <c r="H313" s="537"/>
      <c r="I313" s="572"/>
      <c r="J313" s="523"/>
      <c r="K313" s="523"/>
      <c r="L313" s="21"/>
    </row>
    <row r="314" spans="1:12" x14ac:dyDescent="0.25">
      <c r="L314" s="21"/>
    </row>
    <row r="315" spans="1:12" x14ac:dyDescent="0.25">
      <c r="L315" s="21"/>
    </row>
    <row r="316" spans="1:12" ht="21" x14ac:dyDescent="0.35">
      <c r="A316" s="188" t="s">
        <v>173</v>
      </c>
      <c r="B316" s="312"/>
      <c r="C316" s="315" t="s">
        <v>395</v>
      </c>
      <c r="D316" s="312"/>
      <c r="E316" s="313"/>
      <c r="F316" s="314"/>
      <c r="G316" s="450" t="s">
        <v>18</v>
      </c>
      <c r="H316" s="451"/>
      <c r="I316" s="451"/>
      <c r="J316" s="451"/>
      <c r="K316" s="452"/>
      <c r="L316" s="21"/>
    </row>
    <row r="317" spans="1:12" ht="15.75" x14ac:dyDescent="0.25">
      <c r="A317" s="181" t="s">
        <v>1</v>
      </c>
      <c r="B317" s="181" t="s">
        <v>2</v>
      </c>
      <c r="C317" s="498" t="s">
        <v>3</v>
      </c>
      <c r="D317" s="573"/>
      <c r="E317" s="181" t="s">
        <v>15</v>
      </c>
      <c r="F317" s="181" t="s">
        <v>16</v>
      </c>
      <c r="G317" s="181" t="s">
        <v>19</v>
      </c>
      <c r="H317" s="181" t="s">
        <v>20</v>
      </c>
      <c r="I317" s="181" t="s">
        <v>20</v>
      </c>
      <c r="J317" s="181" t="s">
        <v>21</v>
      </c>
      <c r="K317" s="60" t="s">
        <v>21</v>
      </c>
    </row>
    <row r="318" spans="1:12" ht="15.75" x14ac:dyDescent="0.25">
      <c r="A318" s="453" t="s">
        <v>68</v>
      </c>
      <c r="B318" s="294" t="s">
        <v>99</v>
      </c>
      <c r="C318" s="62" t="s">
        <v>421</v>
      </c>
      <c r="D318" s="62"/>
      <c r="E318" s="202"/>
      <c r="F318" s="316" t="str">
        <f>IF(E318="","",IF(E318&gt;78,0,IF(E318&lt;30,1,ROUND('Reference Standards'!C$14*E318^2+'Reference Standards'!C$15*E318+'Reference Standards'!C$16,2))))</f>
        <v/>
      </c>
      <c r="G318" s="317" t="str">
        <f>IFERROR(AVERAGE(F318),"")</f>
        <v/>
      </c>
      <c r="H318" s="576" t="str">
        <f>IFERROR(ROUND(AVERAGE(G318:G322),2),"")</f>
        <v/>
      </c>
      <c r="I318" s="578" t="str">
        <f>IF(H318="","",IF(H318&gt;0.69,"Functioning",IF(H318&gt;0.29,"Functioning At Risk",IF(H318&gt;-1,"Not Functioning"))))</f>
        <v/>
      </c>
      <c r="J318" s="579" t="str">
        <f>IF(AND(H318="",H323="",H325="",H344="",H348=""),"",ROUND((IF(H318="",0,H318)*0.2)+(IF(H323="",0,H323)*0.2)+(IF(H325="",0,H325)*0.2)+(IF(H344="",0,H344)*0.2)+(IF(H348="",0,H348)*0.2),2))</f>
        <v/>
      </c>
      <c r="K318" s="579" t="str">
        <f>IF(J318="","",IF(J318&lt;0.3, "Not Functioning",IF(OR(H318&lt;0.7,H323&lt;0.7,H325&lt;0.7,H344&lt;0.7,H348&lt;0.7),"Functioning At Risk",IF(J318&lt;0.7,"Functioning At Risk","Functioning"))))</f>
        <v/>
      </c>
    </row>
    <row r="319" spans="1:12" ht="15.75" x14ac:dyDescent="0.25">
      <c r="A319" s="454"/>
      <c r="B319" s="541" t="s">
        <v>154</v>
      </c>
      <c r="C319" s="170" t="s">
        <v>202</v>
      </c>
      <c r="D319" s="169"/>
      <c r="E319" s="167"/>
      <c r="F319" s="316" t="str">
        <f>IF(E319="","",IF(E319&gt;=1,1,IF(E319&lt;=0,0,ROUND(E319,2))))</f>
        <v/>
      </c>
      <c r="G319" s="580" t="str">
        <f>IFERROR(AVERAGE(F319:F322),"")</f>
        <v/>
      </c>
      <c r="H319" s="577"/>
      <c r="I319" s="578"/>
      <c r="J319" s="579"/>
      <c r="K319" s="579"/>
    </row>
    <row r="320" spans="1:12" ht="15.75" x14ac:dyDescent="0.25">
      <c r="A320" s="454"/>
      <c r="B320" s="542"/>
      <c r="C320" s="171" t="s">
        <v>155</v>
      </c>
      <c r="D320" s="62"/>
      <c r="E320" s="202"/>
      <c r="F320" s="318" t="str">
        <f>IF(E320="","",IF(E320&gt;3,0,IF(E320=0,1,ROUND('Reference Standards'!C$49*E320+'Reference Standards'!C$50,2))))</f>
        <v/>
      </c>
      <c r="G320" s="581"/>
      <c r="H320" s="577"/>
      <c r="I320" s="578"/>
      <c r="J320" s="579"/>
      <c r="K320" s="579"/>
    </row>
    <row r="321" spans="1:13" ht="15.75" x14ac:dyDescent="0.25">
      <c r="A321" s="454"/>
      <c r="B321" s="542"/>
      <c r="C321" s="171" t="s">
        <v>429</v>
      </c>
      <c r="D321" s="62"/>
      <c r="E321" s="202"/>
      <c r="F321" s="318" t="str">
        <f>IF(E321="","",IF(E321&gt;=30,1,ROUND(E321^2*'Reference Standards'!$C$82+E321*'Reference Standards'!$C$83+'Reference Standards'!$C$84,2)))</f>
        <v/>
      </c>
      <c r="G321" s="581"/>
      <c r="H321" s="577"/>
      <c r="I321" s="578"/>
      <c r="J321" s="579"/>
      <c r="K321" s="579"/>
    </row>
    <row r="322" spans="1:13" ht="15.75" x14ac:dyDescent="0.25">
      <c r="A322" s="454"/>
      <c r="B322" s="543"/>
      <c r="C322" s="172" t="s">
        <v>391</v>
      </c>
      <c r="D322" s="64"/>
      <c r="E322" s="203"/>
      <c r="F322" s="319" t="str">
        <f>IF(E322="","",IF('Quantification Tool'!B$16="Sandy",IF(E322&gt;1.94,0,IF(E322&lt;1.45,1,ROUND(E322*'Reference Standards'!$C$118+'Reference Standards'!$C$119,2))),IF('Quantification Tool'!B$16="Silty",IF(E322&gt;1.83,0,IF(E322&lt;1.21,1,ROUND(E322*'Reference Standards'!$D$118+'Reference Standards'!$D$119,2))),IF('Quantification Tool'!B$16="Clayey",IF(E322&gt;1.74,0,IF(E322&lt;0.82,1,ROUND(E322*'Reference Standards'!$E$118+'Reference Standards'!$E$119,2)))))))</f>
        <v/>
      </c>
      <c r="G322" s="582"/>
      <c r="H322" s="577"/>
      <c r="I322" s="578"/>
      <c r="J322" s="579"/>
      <c r="K322" s="579"/>
    </row>
    <row r="323" spans="1:13" ht="15.75" x14ac:dyDescent="0.25">
      <c r="A323" s="547" t="s">
        <v>6</v>
      </c>
      <c r="B323" s="547" t="s">
        <v>7</v>
      </c>
      <c r="C323" s="66" t="s">
        <v>8</v>
      </c>
      <c r="D323" s="66"/>
      <c r="E323" s="202"/>
      <c r="F323" s="320" t="str">
        <f>IF(E323="","",ROUND(IF(E323&gt;1.6,0,IF(E323&lt;=1,1,E323^2*'Reference Standards'!K$14+E323*'Reference Standards'!K$15+'Reference Standards'!K$16)),2))</f>
        <v/>
      </c>
      <c r="G323" s="583" t="str">
        <f>IFERROR(AVERAGE(F323:F324),"")</f>
        <v/>
      </c>
      <c r="H323" s="583" t="str">
        <f>IFERROR(ROUND(AVERAGE(G323),2),"")</f>
        <v/>
      </c>
      <c r="I323" s="586" t="str">
        <f>IF(H323="","",IF(H323&gt;0.69,"Functioning",IF(H323&gt;0.29,"Functioning At Risk",IF(H323&gt;-1,"Not Functioning"))))</f>
        <v/>
      </c>
      <c r="J323" s="579"/>
      <c r="K323" s="579"/>
    </row>
    <row r="324" spans="1:13" ht="15.75" x14ac:dyDescent="0.25">
      <c r="A324" s="549"/>
      <c r="B324" s="548"/>
      <c r="C324" s="66" t="s">
        <v>9</v>
      </c>
      <c r="D324" s="66"/>
      <c r="E324" s="203"/>
      <c r="F324" s="67" t="str">
        <f>IF(E324="","",(IF(OR('Quantification Tool'!B$6="A",'Quantification Tool'!B$6="B",'Quantification Tool'!$B$6="Bc"),IF(E324&lt;1.2,0,IF(E324&gt;=2.2,1,ROUND(IF(E324&lt;1.4,E324*'Reference Standards'!$K$84+'Reference Standards'!$K$85,E324*'Reference Standards'!$L$84+'Reference Standards'!$L$85),2))),IF(OR('Quantification Tool'!B$6="C",'Quantification Tool'!B$6="E"),IF(E324&lt;2,0,IF(E324&gt;=5,1,ROUND(IF(E324&lt;2.4,E324*'Reference Standards'!$L$49+'Reference Standards'!$L$50,E324*'Reference Standards'!$K$49+'Reference Standards'!$K$50),2)))))))</f>
        <v/>
      </c>
      <c r="G324" s="584"/>
      <c r="H324" s="585"/>
      <c r="I324" s="587"/>
      <c r="J324" s="579"/>
      <c r="K324" s="579"/>
    </row>
    <row r="325" spans="1:13" ht="15.75" x14ac:dyDescent="0.25">
      <c r="A325" s="464" t="s">
        <v>27</v>
      </c>
      <c r="B325" s="553" t="s">
        <v>28</v>
      </c>
      <c r="C325" s="74" t="s">
        <v>422</v>
      </c>
      <c r="D325" s="308"/>
      <c r="E325" s="75"/>
      <c r="F325" s="321" t="str">
        <f>IF(E325="","",IF(E325&gt;700,1,IF(E325&lt;300,ROUND('Reference Standards'!$S$14*(E325^2)+'Reference Standards'!$S$15*E325+'Reference Standards'!$S$16,2),ROUND('Reference Standards'!$T$15*E325+'Reference Standards'!$T$16,2))))</f>
        <v/>
      </c>
      <c r="G325" s="593" t="str">
        <f>IFERROR(AVERAGE(F325:F326),"")</f>
        <v/>
      </c>
      <c r="H325" s="588" t="str">
        <f>IFERROR(ROUND(AVERAGE(G325:G343),2),"")</f>
        <v/>
      </c>
      <c r="I325" s="579" t="str">
        <f>IF(H325="","",IF(H325&gt;0.69,"Functioning",IF(H325&gt;0.29,"Functioning At Risk",IF(H325&gt;-1,"Not Functioning"))))</f>
        <v/>
      </c>
      <c r="J325" s="579"/>
      <c r="K325" s="579"/>
    </row>
    <row r="326" spans="1:13" ht="15.75" x14ac:dyDescent="0.25">
      <c r="A326" s="465"/>
      <c r="B326" s="554"/>
      <c r="C326" s="77" t="s">
        <v>394</v>
      </c>
      <c r="D326" s="309"/>
      <c r="E326" s="65"/>
      <c r="F326" s="322" t="str">
        <f>IF(E326="","",IF(E326&gt;=30,1,IF(E326&lt;16,ROUND('Reference Standards'!$S$47*(E326^2)+'Reference Standards'!$S$48*E326+'Reference Standards'!$S$49,2),ROUND('Reference Standards'!$T$48*E326+'Reference Standards'!$T$49,2))))</f>
        <v/>
      </c>
      <c r="G326" s="595"/>
      <c r="H326" s="588"/>
      <c r="I326" s="579"/>
      <c r="J326" s="579"/>
      <c r="K326" s="579"/>
    </row>
    <row r="327" spans="1:13" ht="15.75" x14ac:dyDescent="0.25">
      <c r="A327" s="465"/>
      <c r="B327" s="465" t="s">
        <v>51</v>
      </c>
      <c r="C327" s="71" t="s">
        <v>92</v>
      </c>
      <c r="D327" s="71"/>
      <c r="E327" s="167"/>
      <c r="F327" s="323" t="str">
        <f>IF(E327="","",ROUND(IF(E327&gt;0.7,0,IF(E327&lt;=0.1,1,E327^3*'Reference Standards'!S$81+E327^2*'Reference Standards'!S$82+E327*'Reference Standards'!S$83+'Reference Standards'!S$84)),2))</f>
        <v/>
      </c>
      <c r="G327" s="590" t="str">
        <f>IFERROR(IF(E327="",AVERAGE(F328:F329),IF(E328="",F327,MAX(F327,AVERAGE(F328:F329)))),"")</f>
        <v/>
      </c>
      <c r="H327" s="589"/>
      <c r="I327" s="579"/>
      <c r="J327" s="579"/>
      <c r="K327" s="579"/>
    </row>
    <row r="328" spans="1:13" ht="15.75" x14ac:dyDescent="0.25">
      <c r="A328" s="465"/>
      <c r="B328" s="465"/>
      <c r="C328" s="71" t="s">
        <v>52</v>
      </c>
      <c r="D328" s="71"/>
      <c r="E328" s="202"/>
      <c r="F328" s="323" t="str">
        <f>IF(E328="","",IF(OR(E328="Ex/Ex",E328="Ex/VH"),0, IF(OR(E328="Ex/H",E328="VH/Ex",E328="VH/VH", E328="H/Ex",E328="H/VH",E328="M/Ex"),0.1,IF(OR(E328="Ex/M",E328="VH/H",E328="H/H", E328="M/VH"),0.2, IF(OR(E328="Ex/L",E328="VH/M",E328="H/M", E328="M/H",E328="L/Ex"),0.3, IF(OR(E328="Ex/VL",E328="VH/L",E328="H/L"),0.4, IF(OR(E328="VH/VL",E328="H/VL",E328="M/M", E328="L/VH"),0.5, IF(OR(E328="M/L",E328="L/H"),0.6, IF(OR(E328="M/VL",E328="L/M"),0.7, IF(OR(E328="L/L",E328="L/VL"),1))))))))))</f>
        <v/>
      </c>
      <c r="G328" s="590"/>
      <c r="H328" s="589"/>
      <c r="I328" s="579"/>
      <c r="J328" s="579"/>
      <c r="K328" s="579"/>
    </row>
    <row r="329" spans="1:13" ht="15.75" x14ac:dyDescent="0.25">
      <c r="A329" s="465"/>
      <c r="B329" s="466"/>
      <c r="C329" s="73" t="s">
        <v>102</v>
      </c>
      <c r="D329" s="73"/>
      <c r="E329" s="203"/>
      <c r="F329" s="324" t="str">
        <f>IF(E329="","",ROUND(IF(E329&gt;40,0,IF(E329&lt;5,1,E329^3*'Reference Standards'!S$116+E329^2*'Reference Standards'!S$117+E329*'Reference Standards'!S$118+'Reference Standards'!S$119)),2))</f>
        <v/>
      </c>
      <c r="G329" s="590"/>
      <c r="H329" s="589"/>
      <c r="I329" s="579"/>
      <c r="J329" s="579"/>
      <c r="K329" s="579"/>
    </row>
    <row r="330" spans="1:13" ht="15.75" x14ac:dyDescent="0.25">
      <c r="A330" s="465"/>
      <c r="B330" s="465" t="s">
        <v>53</v>
      </c>
      <c r="C330" s="74" t="s">
        <v>120</v>
      </c>
      <c r="D330" s="78"/>
      <c r="E330" s="167"/>
      <c r="F330" s="325" t="str">
        <f>IF(E330="","",ROUND(IF(E330&gt;90,1,E330^2*'Reference Standards'!S$151+E330*'Reference Standards'!S$152+'Reference Standards'!S$153),2))</f>
        <v/>
      </c>
      <c r="G330" s="591" t="str">
        <f>IFERROR(ROUND(AVERAGE(F330:F337),2),"")</f>
        <v/>
      </c>
      <c r="H330" s="589"/>
      <c r="I330" s="579"/>
      <c r="J330" s="579"/>
      <c r="K330" s="579"/>
    </row>
    <row r="331" spans="1:13" ht="15.75" x14ac:dyDescent="0.25">
      <c r="A331" s="465"/>
      <c r="B331" s="465"/>
      <c r="C331" s="76" t="s">
        <v>121</v>
      </c>
      <c r="D331" s="71"/>
      <c r="E331" s="202"/>
      <c r="F331" s="323" t="str">
        <f>IF(E331="","",ROUND(IF(E331&gt;90,1,E331^2*'Reference Standards'!S$151+E331*'Reference Standards'!S$152+'Reference Standards'!S$153),2))</f>
        <v/>
      </c>
      <c r="G331" s="590"/>
      <c r="H331" s="589"/>
      <c r="I331" s="579"/>
      <c r="J331" s="579"/>
      <c r="K331" s="579"/>
    </row>
    <row r="332" spans="1:13" ht="15.75" x14ac:dyDescent="0.25">
      <c r="A332" s="465"/>
      <c r="B332" s="465"/>
      <c r="C332" s="76" t="s">
        <v>430</v>
      </c>
      <c r="D332" s="71"/>
      <c r="E332" s="202"/>
      <c r="F332" s="323" t="str">
        <f>IF(E332="","",ROUND(IF(OR('Quantification Tool'!B$6="A",'Quantification Tool'!B$6="B",'Quantification Tool'!B$6="Bc"),IF(E332&gt;=50,1, IF(E332&lt;30, E332*'Reference Standards'!#REF!+'Reference Standards'!#REF!, E332*'Reference Standards'!#REF!+'Reference Standards'!#REF!)), IF(E332&gt;=150,1,IF(E332&lt;48, E332^2*'Reference Standards'!S$220+E332*'Reference Standards'!S$221+'Reference Standards'!S$222, E332*'Reference Standards'!T$220+'Reference Standards'!T$221))),2))</f>
        <v/>
      </c>
      <c r="G332" s="590"/>
      <c r="H332" s="589"/>
      <c r="I332" s="579"/>
      <c r="J332" s="579"/>
      <c r="K332" s="579"/>
    </row>
    <row r="333" spans="1:13" ht="15.75" x14ac:dyDescent="0.25">
      <c r="A333" s="465"/>
      <c r="B333" s="465"/>
      <c r="C333" s="76" t="s">
        <v>431</v>
      </c>
      <c r="D333" s="71"/>
      <c r="E333" s="202"/>
      <c r="F333" s="323" t="str">
        <f>IF(E333="","",ROUND(IF(OR('Quantification Tool'!B$6="A",'Quantification Tool'!B$6="B",'Quantification Tool'!B$6="Bc"),IF(E333&gt;=50,1, IF(E333&lt;30, E333*'Reference Standards'!#REF!+'Reference Standards'!#REF!, E333*'Reference Standards'!#REF!+'Reference Standards'!#REF!)), IF(E333&gt;=150,1,IF(E333&lt;45, E333^2*'Reference Standards'!S$220+E333*'Reference Standards'!S$221+'Reference Standards'!S$222, E333*'Reference Standards'!T$220+'Reference Standards'!T$221))),2))</f>
        <v/>
      </c>
      <c r="G333" s="590"/>
      <c r="H333" s="589"/>
      <c r="I333" s="579"/>
      <c r="J333" s="579"/>
      <c r="K333" s="579"/>
    </row>
    <row r="334" spans="1:13" ht="15.75" x14ac:dyDescent="0.25">
      <c r="A334" s="465"/>
      <c r="B334" s="465"/>
      <c r="C334" s="71" t="s">
        <v>128</v>
      </c>
      <c r="D334" s="71"/>
      <c r="E334" s="202"/>
      <c r="F334" s="323" t="str">
        <f>IF(E334="","",ROUND(IF(E334&gt;100,1,E334^2*'Reference Standards'!S$185+E334*'Reference Standards'!S$186+'Reference Standards'!S$187),2))</f>
        <v/>
      </c>
      <c r="G334" s="590"/>
      <c r="H334" s="589"/>
      <c r="I334" s="579"/>
      <c r="J334" s="579"/>
      <c r="K334" s="579"/>
    </row>
    <row r="335" spans="1:13" ht="15.75" x14ac:dyDescent="0.25">
      <c r="A335" s="465"/>
      <c r="B335" s="465"/>
      <c r="C335" s="71" t="s">
        <v>129</v>
      </c>
      <c r="D335" s="71"/>
      <c r="E335" s="202"/>
      <c r="F335" s="323" t="str">
        <f>IF(E335="","",ROUND(IF(E335&gt;100,1,E335^2*'Reference Standards'!S$185+E335*'Reference Standards'!S$186+'Reference Standards'!S$187),2))</f>
        <v/>
      </c>
      <c r="G335" s="590"/>
      <c r="H335" s="589"/>
      <c r="I335" s="579"/>
      <c r="J335" s="579"/>
      <c r="K335" s="579"/>
    </row>
    <row r="336" spans="1:13" ht="15.75" x14ac:dyDescent="0.25">
      <c r="A336" s="465"/>
      <c r="B336" s="465"/>
      <c r="C336" s="76" t="s">
        <v>165</v>
      </c>
      <c r="D336" s="71"/>
      <c r="E336" s="202"/>
      <c r="F336" s="323" t="str">
        <f>IF(E336="","",ROUND(IF(E336&gt;=300,0.5,E336*'Reference Standards'!S$253),2))</f>
        <v/>
      </c>
      <c r="G336" s="590"/>
      <c r="H336" s="589"/>
      <c r="I336" s="579"/>
      <c r="J336" s="579"/>
      <c r="K336" s="579"/>
      <c r="M336" s="21"/>
    </row>
    <row r="337" spans="1:12" ht="15.75" x14ac:dyDescent="0.25">
      <c r="A337" s="465"/>
      <c r="B337" s="466"/>
      <c r="C337" s="77" t="s">
        <v>166</v>
      </c>
      <c r="D337" s="79"/>
      <c r="E337" s="202"/>
      <c r="F337" s="323" t="str">
        <f>IF(E337="","",ROUND(IF(E337&gt;=300,0.5,E337*'Reference Standards'!S$253),2))</f>
        <v/>
      </c>
      <c r="G337" s="592"/>
      <c r="H337" s="589"/>
      <c r="I337" s="579"/>
      <c r="J337" s="579"/>
      <c r="K337" s="579"/>
    </row>
    <row r="338" spans="1:12" ht="15.75" x14ac:dyDescent="0.25">
      <c r="A338" s="465"/>
      <c r="B338" s="69" t="s">
        <v>130</v>
      </c>
      <c r="C338" s="89" t="s">
        <v>168</v>
      </c>
      <c r="D338" s="71"/>
      <c r="E338" s="53"/>
      <c r="F338" s="326" t="str">
        <f>IF(E338="","",IF('Quantification Tool'!B$9="Gravel",IF(E338&gt;0.1,1,IF(E338&lt;=0.01,0,ROUND(E338*'Reference Standards'!$S$289+'Reference Standards'!$S$290,2)))))</f>
        <v/>
      </c>
      <c r="G338" s="327" t="str">
        <f>IFERROR(AVERAGE(F338),"")</f>
        <v/>
      </c>
      <c r="H338" s="589"/>
      <c r="I338" s="579"/>
      <c r="J338" s="579"/>
      <c r="K338" s="579"/>
    </row>
    <row r="339" spans="1:12" ht="15.75" x14ac:dyDescent="0.25">
      <c r="A339" s="465"/>
      <c r="B339" s="464" t="s">
        <v>54</v>
      </c>
      <c r="C339" s="78" t="s">
        <v>55</v>
      </c>
      <c r="D339" s="78"/>
      <c r="E339" s="209"/>
      <c r="F339" s="328" t="str">
        <f>IF(E339="","",   IF(AND('Quantification Tool'!$B$6="E",'Quantification Tool'!$B$9="Gravel"),ROUND(IF(OR(E339&lt;=2.3,E339&gt;=10.1),0,IF(E339&lt;4,E339*'Reference Standards'!$S$325+'Reference Standards'!$S$326,IF(E339&lt;=7.5,1,E339*'Reference Standards'!$T$325+'Reference Standards'!$T$326))),2),    IF(AND('Quantification Tool'!$B$6="E",'Quantification Tool'!$B$9="Sand"),ROUND(IF(OR(E339&lt;3,E339&gt;6.7),0,IF(E339&lt;=5,1,E339*'Reference Standards'!$S$357+'Reference Standards'!$S$358)),2),    IF(AND('Quantification Tool'!$B$6="C",OR('Quantification Tool'!$B$9="Gravel",'Quantification Tool'!$B$9="Sand")),ROUND(IF(OR(E339&lt;=2.3,E339&gt;=8.1),0,IF(E339&lt;4,E339*'Reference Standards'!$S$391+'Reference Standards'!$S$392,IF(E339&lt;=5.5,1,E339*'Reference Standards'!$T$391+'Reference Standards'!$T$392))),2), IF(AND(OR('Quantification Tool'!$B$6="Bc",'Quantification Tool'!$B$6="B"),'Quantification Tool'!$B$9="Gravel"),ROUND(IF(E339&gt;=7.1,0,IF(E339&gt;4.5,E339*'Reference Standards'!$S$423+'Reference Standards'!$S$424,1)),2))))))</f>
        <v/>
      </c>
      <c r="G339" s="593" t="str">
        <f>IFERROR(AVERAGE(F339:F342),"")</f>
        <v/>
      </c>
      <c r="H339" s="589"/>
      <c r="I339" s="579"/>
      <c r="J339" s="579"/>
      <c r="K339" s="579"/>
    </row>
    <row r="340" spans="1:12" ht="15.75" x14ac:dyDescent="0.25">
      <c r="A340" s="465"/>
      <c r="B340" s="465"/>
      <c r="C340" s="71" t="s">
        <v>56</v>
      </c>
      <c r="D340" s="71"/>
      <c r="E340" s="208"/>
      <c r="F340" s="329" t="str">
        <f>IF(E340="","",IF(E340&lt;1.25,0,IF(E340&gt;=2.8,1,IF(AND(OR('Quantification Tool'!B$6="B", 'Quantification Tool'!B$6="Bc"),'Quantification Tool'!$B$9="Gravel"),ROUND(E340^2*'Reference Standards'!S$489+E340*'Reference Standards'!S$490+'Reference Standards'!S$491,2), IF(AND(OR('Quantification Tool'!B$6="C", 'Quantification Tool'!B$6="E"),OR('Quantification Tool'!$B$9="Gravel",'Quantification Tool'!$B$9="Sand")), ROUND(IF(E340&lt;=1.7,E340*'Reference Standards'!$S$457+'Reference Standards'!$S$458,E340*'Reference Standards'!$T$457+'Reference Standards'!$T$458),2)    )))))</f>
        <v/>
      </c>
      <c r="G340" s="594"/>
      <c r="H340" s="589"/>
      <c r="I340" s="579"/>
      <c r="J340" s="579"/>
      <c r="K340" s="579"/>
    </row>
    <row r="341" spans="1:12" ht="15.75" x14ac:dyDescent="0.25">
      <c r="A341" s="465"/>
      <c r="B341" s="465"/>
      <c r="C341" s="71" t="s">
        <v>423</v>
      </c>
      <c r="D341" s="71"/>
      <c r="E341" s="208"/>
      <c r="F341" s="330" t="str">
        <f>IF(E341="","",IF(AND('Quantification Tool'!$B$6="E",OR('Quantification Tool'!$B$9="Sand",'Quantification Tool'!$B$9="Gravel")), IF(OR(E341&lt;20,E341&gt;73),0,ROUND(IF(E341&lt;25,E341*'Reference Standards'!$S$526+'Reference Standards'!$S$527,IF(E341&lt;35,1,E341^2*'Reference Standards'!$T$525+E341*'Reference Standards'!$T$526+'Reference Standards'!$T$527)),2)),  IF(AND('Quantification Tool'!$B$6="C",OR('Quantification Tool'!$B$9="Sand",'Quantification Tool'!$B$9="Gravel")), IF(OR(E341&lt;19,E341&gt;63),0,ROUND(IF(E341&lt;43,E341*'Reference Standards'!$S$560+'Reference Standards'!$S$561,IF(E341&lt;52,1,E341*'Reference Standards'!$T$560+'Reference Standards'!$T$561)),2)),IF(AND(OR('Quantification Tool'!$B$6="B",'Quantification Tool'!$B$6="Bc"),'Quantification Tool'!$B$9="Gravel"), IF(OR(E341&lt;18,E341&gt;82),0,ROUND(IF(E341&lt;30,E341^2*'Reference Standards'!$S$594+E341*'Reference Standards'!$S$595+'Reference Standards'!$S$596,IF(E341&lt;41,1,E341*'Reference Standards'!$T$595+'Reference Standards'!$T$596)),2))   ))))</f>
        <v/>
      </c>
      <c r="G341" s="594"/>
      <c r="H341" s="589"/>
      <c r="I341" s="579"/>
      <c r="J341" s="579"/>
      <c r="K341" s="579"/>
    </row>
    <row r="342" spans="1:12" ht="15.75" x14ac:dyDescent="0.25">
      <c r="A342" s="465"/>
      <c r="B342" s="466"/>
      <c r="C342" s="76" t="s">
        <v>254</v>
      </c>
      <c r="D342" s="71"/>
      <c r="E342" s="210"/>
      <c r="F342" s="331" t="str">
        <f>IF(E342="","",IF(E342&gt;=1.6,0,IF(E342&lt;=1,1,ROUND('Reference Standards'!$S$626*E342^3+'Reference Standards'!$S$627*E342^2+'Reference Standards'!$S$628*E342+'Reference Standards'!$S$629,2))))</f>
        <v/>
      </c>
      <c r="G342" s="595"/>
      <c r="H342" s="589"/>
      <c r="I342" s="579"/>
      <c r="J342" s="579"/>
      <c r="K342" s="579"/>
    </row>
    <row r="343" spans="1:12" ht="15.75" x14ac:dyDescent="0.25">
      <c r="A343" s="466"/>
      <c r="B343" s="292" t="s">
        <v>58</v>
      </c>
      <c r="C343" s="305" t="s">
        <v>57</v>
      </c>
      <c r="D343" s="306"/>
      <c r="E343" s="203"/>
      <c r="F343" s="324" t="str">
        <f>IF(E343="","",IF(AND('Quantification Tool'!B$6="E",'Quantification Tool'!$B$9="Sand",'Quantification Tool'!$B$17="Unconfined Alluvial"),ROUND(IF(OR(E343&gt;1.8,E343&lt;1.3),0,IF(E343&lt;=1.6,1,E343*'Reference Standards'!S$660+'Reference Standards'!S$661)),2),    IF('Quantification Tool'!$B$17="Unconfined Alluvial",ROUND(IF(OR(E343&lt;1.2, E343&gt;1.5),0,IF(E343&lt;=1.4,1,E343*'Reference Standards'!$S$693+'Reference Standards'!$S$694)),2), IF('Quantification Tool'!$B$17="Confined Alluvial",ROUND(IF(E343&lt;1.15,0,IF(E343&lt;=1.4,E343*'Reference Standards'!$S$722+'Reference Standards'!$S$723,1)),2),  IF('Quantification Tool'!$B$17="Colluvial",ROUND(IF(E343&gt;1.3,0,IF(E343&gt;1.2,E343*'Reference Standards'!$S$753+'Reference Standards'!$S$754,1)),2) )))))</f>
        <v/>
      </c>
      <c r="G343" s="332" t="str">
        <f>IFERROR(AVERAGE(F343),"")</f>
        <v/>
      </c>
      <c r="H343" s="589"/>
      <c r="I343" s="579"/>
      <c r="J343" s="579"/>
      <c r="K343" s="579"/>
      <c r="L343" s="13"/>
    </row>
    <row r="344" spans="1:12" ht="15.75" x14ac:dyDescent="0.25">
      <c r="A344" s="527" t="s">
        <v>61</v>
      </c>
      <c r="B344" s="83" t="s">
        <v>103</v>
      </c>
      <c r="C344" s="87" t="s">
        <v>427</v>
      </c>
      <c r="D344" s="87"/>
      <c r="E344" s="53"/>
      <c r="F344" s="333" t="str">
        <f>IF(E344="","",ROUND(IF(E344&gt;=942,0,IF(E344&lt;=487,E344*'Reference Standards'!AB$15+'Reference Standards'!AB$16,E344*'Reference Standards'!$AC$15+'Reference Standards'!$AC$16)),2))</f>
        <v/>
      </c>
      <c r="G344" s="334" t="str">
        <f>IFERROR(AVERAGE(F344),"")</f>
        <v/>
      </c>
      <c r="H344" s="596" t="str">
        <f>IFERROR(ROUND(AVERAGE(G344:G347),2),"")</f>
        <v/>
      </c>
      <c r="I344" s="599" t="str">
        <f>IF(H344="","",IF(H344&gt;0.69,"Functioning",IF(H344&gt;0.29,"Functioning At Risk",IF(H344&gt;-1,"Not Functioning"))))</f>
        <v/>
      </c>
      <c r="J344" s="579"/>
      <c r="K344" s="579"/>
      <c r="L344" s="13"/>
    </row>
    <row r="345" spans="1:12" ht="15.75" x14ac:dyDescent="0.25">
      <c r="A345" s="528"/>
      <c r="B345" s="399" t="s">
        <v>476</v>
      </c>
      <c r="C345" s="81" t="s">
        <v>457</v>
      </c>
      <c r="D345" s="81"/>
      <c r="E345" s="203"/>
      <c r="F345" s="336" t="str">
        <f>IF(E345="","",IF(OR('Quantification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June")),IF(E345&gt;93,0,IF(E345&lt;13,1,ROUND('Reference Standards'!$AB$53*E345^2+'Reference Standards'!$AB$54*E345+'Reference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Tool'!$B$7="73b"),IF(E345&gt;94,0,IF(E345&lt;17,1,ROUND('Reference Standards'!$AC$53*E345^2+'Reference Standards'!$AC$54*E345+'Reference Standards'!$AC$55,2))),    IF(OR(AND(OR('Quantification Tool'!$B$7="68b",'Quantification Tool'!$B$7="71i"),'Quantification Tool'!$B$8&gt;2), 'Quantification Tool'!$B$7="71e"),IF(E345&gt;91,0,IF(E345&lt;24,1,ROUND('Reference Standards'!$AD$53*E345^2+'Reference Standards'!$AD$54*E345+'Reference Standards'!$AD$55,2))),  IF(OR(AND(OR('Quantification Tool'!$B$7="71f",'Quantification Tool'!$B$7="71g",'Quantification Tool'!$B$7="71h",'Quantification Tool'!$B$7="71i"),'Quantification Tool'!$B$8&lt;=2), AND('Quantification Tool'!$B$7="74a",'Quantification Tool'!$B$8&gt;2)),IF(E345&gt;95,0,IF(E345&lt;=36,1,ROUND('Reference Standards'!$AE$53*E345^2+'Reference Standards'!$AE$54*E345+'Reference Standards'!$AE$55,2))))))))</f>
        <v/>
      </c>
      <c r="G345" s="335" t="str">
        <f>IFERROR(AVERAGE(F345:F345),"")</f>
        <v/>
      </c>
      <c r="H345" s="597"/>
      <c r="I345" s="600"/>
      <c r="J345" s="579"/>
      <c r="K345" s="579"/>
      <c r="L345" s="21"/>
    </row>
    <row r="346" spans="1:12" ht="15.75" x14ac:dyDescent="0.25">
      <c r="A346" s="528"/>
      <c r="B346" s="83" t="s">
        <v>93</v>
      </c>
      <c r="C346" s="84" t="s">
        <v>326</v>
      </c>
      <c r="D346" s="84"/>
      <c r="E346" s="202"/>
      <c r="F346" s="336" t="str">
        <f>IF(E346="","",IF(OR('Quantification Tool'!$B$7="66e",'Quantification Tool'!$B$7="66f",'Quantification Tool'!$B$7="66g"), ROUND(IF(E346&gt;=0.61,0,IF(E346&lt;=0.01,1,IF(E346&lt;=0.06,E346*'Reference Standards'!$AD$197+'Reference Standards'!$AD$198,E346^2*'Reference Standards'!$AB$196+E346*'Reference Standards'!$AB$197+'Reference Standards'!$AB$198))),2),  IF('Quantification Tool'!$B$7="68b", ROUND(IF(E346&gt;=1.1,0,IF(E346&lt;=0.17,1,IF(E346&lt;=0.22,E346*'Reference Standards'!$AE$197+'Reference Standards'!$AE$198,E346^2*'Reference Standards'!$AC$196+E346*'Reference Standards'!$AC$197+'Reference Standards'!$AC$198))),2),IF('Quantification Tool'!$B$8&lt;=2.5,   IF('Quantification Tool'!$B$7="69de",ROUND(IF(E346&gt;=0.22,0,IF(E346&lt;=0.01,1,E346^2*'Reference Standards'!$AB$90+E346*'Reference Standards'!$AB$91+'Reference Standards'!$AB$92)),2),   IF('Quantification Tool'!$B$7="68c",ROUND(IF(E346&gt;=0.87,0,IF(E346&lt;=0.01,1,E346^2*'Reference Standards'!$AC$90+E346*'Reference Standards'!$AC$91+'Reference Standards'!$AC$92)),2),   IF('Quantification Tool'!$B$7="68a",ROUND(IF(E346&gt;=0.81,0,IF(E346&lt;=0.01,1,E346^2*'Reference Standards'!$AD$90+E346*'Reference Standards'!$AD$91+'Reference Standards'!$AD$92)),2),   IF('Quantification Tool'!$B$7="65abei",ROUND(IF(E346&gt;=0.67,0,IF(E346&lt;=0.01,1,IF(E346&lt;=0.18,E346*'Reference Standards'!$AG$91+'Reference Standards'!$AG$92,E346*'Reference Standards'!$AE$91+'Reference Standards'!$AE$92))),2),   IF('Quantification Tool'!$B$7="65j",ROUND(IF(E346&gt;=0.32,0,IF(E346&lt;=0.01,1,IF(E346&lt;=0.25,E346*'Reference Standards'!$AH$91+'Reference Standards'!$AH$92,E346*'Reference Standards'!$AF$91+'Reference Standards'!$AF$92))),2),   IF('Quantification Tool'!$B$7="71f",ROUND(IF(E346&gt;=3,0,IF(E346&lt;=0,1,IF(E346&lt;=0.01,0.7,E346^2*'Reference Standards'!$AB$126+E346*'Reference Standards'!$AB$127+'Reference Standards'!$AB$128))),2),   IF('Quantification Tool'!$B$7="74a",ROUND(IF(E346&gt;=0.14,0,IF(E346&lt;=0.01,1,IF(E346&lt;=0.02,0.7,E346^2*'Reference Standards'!$AC$126+E346*'Reference Standards'!$AC$127+'Reference Standards'!$AC$128))),2),   IF(OR('Quantification Tool'!$B$7="67fhi",'Quantification Tool'!$B$7="67g"),ROUND(IF(E346&gt;=1.9,0,IF(E346&lt;=0.01,1,IF(E346&lt;=0.05,E346*'Reference Standards'!$AF$127+'Reference Standards'!$AF$128,E346^2*'Reference Standards'!$AD$126+E346*'Reference Standards'!$AD$127+'Reference Standards'!$AD$128))),2),   IF('Quantification Tool'!$B$7="73a",ROUND(IF(E346&gt;=1.44,0,IF(E346&lt;=0.01,1,IF(E346&lt;=0.12,E346*'Reference Standards'!$AG$127+'Reference Standards'!$AG$128,E346^2*'Reference Standards'!$AE$126+E346*'Reference Standards'!$AE$127+'Reference Standards'!$AE$128))),2),   IF('Quantification Tool'!$B$7="66d",ROUND(IF(E346&gt;=0.46,0,IF(E346&lt;=0.02,1,IF(E346&lt;=0.08,E346*'Reference Standards'!$AF$163+'Reference Standards'!$AF$164,E346^2*'Reference Standards'!$AB$162+E346*'Reference Standards'!$AB$163+'Reference Standards'!$AB$164))),2),   IF(OR('Quantification Tool'!$B$7="71g",'Quantification Tool'!$B$7="71h",'Quantification Tool'!$B$7="71i"),ROUND(IF(E346&gt;=3,0,IF(E346&lt;=0.06,1,IF(E346&lt;=0.24,E346*'Reference Standards'!$AG$163+'Reference Standards'!$AG$164, E346^2*'Reference Standards'!$AC$162+E346*'Reference Standards'!$AC$163+'Reference Standards'!$AC$164))),2),   IF('Quantification Tool'!$B$7="74b",ROUND(IF(E346&gt;=1.3,0,IF(E346&lt;=0.29,1,IF(E346&lt;=0.48,E346*'Reference Standards'!$AH$163+'Reference Standards'!$AH$164,E346^2*'Reference Standards'!$AD$162+E346*'Reference Standards'!$AD$163+'Reference Standards'!$AD$164))),2),   IF('Quantification Tool'!$B$7="71e",ROUND(IF(E346&gt;=4.3,0,IF(E346&lt;=0.53,1,IF(E346&lt;=0.67,E346*'Reference Standards'!$AI$163+'Reference Standards'!$AI$164,E346^2*'Reference Standards'!$AE$162+E346*'Reference Standards'!$AE$163+'Reference Standards'!$AE$164))),2)       ))))))))))))),IF('Quantification Tool'!$B$8&gt;2.5,    IF('Quantification Tool'!$B$7="73a",ROUND(IF(E346&gt;=0.55,0,IF(E346&lt;=0,1,E346^2*'Reference Standards'!$AB$232+E346*'Reference Standards'!$AB$233+'Reference Standards'!$AB$234)),2),   IF('Quantification Tool'!$B$7="68a",ROUND(IF(E346&gt;=0.54,0,IF(E346&lt;=0,1, IF(E346&lt;=0.01,0.85, E346^2*'Reference Standards'!$AC$232+E346*'Reference Standards'!$AC$233+'Reference Standards'!$AC$234))),2),   IF('Quantification Tool'!$B$7="74a",ROUND(IF(E346&gt;=0.47,0,IF(E346&lt;=0.01,1, IF(E346&lt;=0.02,0.7, E346^2*'Reference Standards'!$AD$232+E346*'Reference Standards'!$AD$233+'Reference Standards'!$AD$234))),2),    IF('Quantification Tool'!$B$7="69de",ROUND(IF(E346&gt;=0.26,0,IF(E346&lt;=0.01,1, IF(E346&lt;=0.02,0.85, E346^2*'Reference Standards'!$AE$232+E346*'Reference Standards'!$AE$233+'Reference Standards'!$AE$234))),2),   IF('Quantification Tool'!$B$7="71f",ROUND(IF(E346&gt;=0.87,0,IF(E346&lt;=0.01,1,IF(E346&lt;=0.04,E346*'Reference Standards'!$AF$269+'Reference Standards'!$AF$270,E346^2*'Reference Standards'!$AB$268+E346*'Reference Standards'!$AB$269+'Reference Standards'!$AB$270))),2),  IF('Quantification Tool'!$B$7="65abei",ROUND(IF(E346&gt;=0.82,0,IF(E346&lt;=0.01,1,IF(E346&lt;=0.06,E346*'Reference Standards'!$AG$269+'Reference Standards'!$AG$270,E346^2*'Reference Standards'!$AC$268+E346*'Reference Standards'!$AC$269+'Reference Standards'!$AC$270))),2),  IF('Quantification Tool'!$B$7="65j",ROUND(IF(E346&gt;=0.33,0,IF(E346&lt;=0.03,1,IF(E346&lt;=0.09,E346*'Reference Standards'!$AH$269+'Reference Standards'!$AH$270,E346^2*'Reference Standards'!$AD$268+E346*'Reference Standards'!$AD$269+'Reference Standards'!$AD$270))),2),  IF('Quantification Tool'!$B$7="68c",ROUND(IF(E346&gt;=0.7,0,IF(E346&lt;=0.07,1,IF(E346&lt;=0.12,E346*'Reference Standards'!$AI$269+'Reference Standards'!$AI$270,E346^2*'Reference Standards'!$AE$268+E346*'Reference Standards'!$AE$269+'Reference Standards'!$AE$270))),2),   IF(OR('Quantification Tool'!$B$7="67fhi",'Quantification Tool'!$B$7="67g"),ROUND(IF(E346&gt;=1.8,0,IF(E346&lt;=0.08,1,IF(E346&lt;=0.2,E346*'Reference Standards'!$AF$306+'Reference Standards'!$AF$307,E346^2*'Reference Standards'!$AB$305+E346*'Reference Standards'!$AB$306+'Reference Standards'!$AB$307))),2),   IF('Quantification Tool'!$B$7="74b",ROUND(IF(E346&gt;=0.96,0,IF(E346&lt;=0.12,1,IF(E346&lt;=0.16,E346*'Reference Standards'!$AG$306+'Reference Standards'!$AG$307,E346^2*'Reference Standards'!$AC$305+E346*'Reference Standards'!$AC$306+'Reference Standards'!$AC$307))),2),   IF('Quantification Tool'!$B$7="66d",ROUND(IF(E346&gt;=0.75,0,IF(E346&lt;=0.13,1,IF(E346&lt;=0.2,E346*'Reference Standards'!$AH$306+'Reference Standards'!$AH$307,E346^2*'Reference Standards'!$AD$305+E346*'Reference Standards'!$AD$306+'Reference Standards'!$AD$307))),2),    IF(OR('Quantification Tool'!$B$7="71g",'Quantification Tool'!$B$7="71h",'Quantification Tool'!$B$7="71i"),ROUND(IF(E346&gt;=1.68,0,IF(E346&lt;=0.08,1,IF(E346&lt;=0.23,E346*'Reference Standards'!$AI$306+'Reference Standards'!$AI$307,E346^2*'Reference Standards'!$AE$305+E346*'Reference Standards'!$AE$306+'Reference Standards'!$AE$307))),2),   IF('Quantification Tool'!$B$7="71e",ROUND(IF(E346&gt;=5.3,0,IF(E346&lt;=0.94,1,IF(E346&lt;=1.4,E346*'Reference Standards'!$AF$310+'Reference Standards'!$AF$311,E346^2*'Reference Standards'!$AB$309+E346*'Reference Standards'!$AB$310+'Reference Standards'!$AB$311))),2))    )))))))))))))))))</f>
        <v/>
      </c>
      <c r="G346" s="337" t="str">
        <f>IFERROR(AVERAGE(F346),"")</f>
        <v/>
      </c>
      <c r="H346" s="597"/>
      <c r="I346" s="600"/>
      <c r="J346" s="579"/>
      <c r="K346" s="579"/>
      <c r="L346" s="21"/>
    </row>
    <row r="347" spans="1:12" ht="15.75" x14ac:dyDescent="0.25">
      <c r="A347" s="529"/>
      <c r="B347" s="293" t="s">
        <v>94</v>
      </c>
      <c r="C347" s="81" t="s">
        <v>325</v>
      </c>
      <c r="D347" s="81"/>
      <c r="E347" s="167"/>
      <c r="F347" s="333" t="str">
        <f>IF(E347="","",IF('Quantification Tool'!$B$8&gt;2.5,IF(OR('Quantification Tool'!$B$7="71h",'Quantification Tool'!$B$7="71i",'Quantification Tool'!$B$7="73a",'Quantification Tool'!$B$7="74a"),IF(E347&lt;=0.01,1,IF(OR('Quantification Tool'!$B$7="71h",'Quantification Tool'!$B$7="71i"),IF(E347&gt;0.37,0,ROUND(IF(E347&gt;0.03,'Reference Standards'!$AB$425*E347^2+'Reference Standards'!$AB$426*E347+'Reference Standards'!$AB$427,'Reference Standards'!$AF$426*E347+'Reference Standards'!$AF$427),2)),  IF('Quantification Tool'!$B$7="73a",IF(E347&gt;0.405,0,ROUND(IF(E347&gt;0.046,'Reference Standards'!$AC$425*E347^2+'Reference Standards'!$AC$426*E347+'Reference Standards'!$AC$427,'Reference Standards'!$AG$426*E347+'Reference Standards'!$AG$427),2)),IF('Quantification Tool'!$B$7="74a",IF(E347&gt;0.3,0,ROUND(IF(E347&gt;0.052,'Reference Standards'!$AD$425*E347^2+'Reference Standards'!$AD$426*E347+'Reference Standards'!$AD$427,'Reference Standards'!$AH$426*E347+'Reference Standards'!$AH$427),2)))))),   IF(E347&lt;=0.002,1,IF(OR('Quantification Tool'!$B$7="66d",'Quantification Tool'!$B$7="66e",'Quantification Tool'!$B$7="66g"),IF(E347&gt;0.053,0,ROUND(E347^2*'Reference Standards'!$AB$347+E347*'Reference Standards'!$AB$348+'Reference Standards'!$AB$349,2)), IF('Quantification Tool'!$B$7="68b",IF(E347&gt;0.05,0,ROUND(E347^2*'Reference Standards'!$AC$347+E347*'Reference Standards'!$AC$348+'Reference Standards'!$AC$349,2)),  IF(OR('Quantification Tool'!$B$7="68a",'Quantification Tool'!$B$7="68c"),IF(E347&gt;0.07,0,ROUND(E347^2*'Reference Standards'!$AD$347+E347*'Reference Standards'!$AD$348+'Reference Standards'!$AD$349,2)), IF(OR('Quantification Tool'!$B$7="71f",'Quantification Tool'!$B$7="71g"),IF(E347&gt;0.13,0,ROUND(IF(E347&gt;0.042,E347*'Reference Standards'!$AE$348+'Reference Standards'!$AE$349,E347*'Reference Standards'!$AF$348+'Reference Standards'!$AF$349),2)), IF('Quantification Tool'!$B$7="67fhi",IF(E347&gt;0.16,0,ROUND(E347^2*'Reference Standards'!$AG$347+E347*'Reference Standards'!$AG$348+'Reference Standards'!$AG$349,2)),  IF('Quantification Tool'!$B$7="65j",IF(E347&gt;0.035,0,ROUND(IF(E347&lt;=0.003,0.7,E347^2*'Reference Standards'!$AB$387+E347*'Reference Standards'!$AB$388+'Reference Standards'!$AB$389),2)),IF('Quantification Tool'!$B$7="69de",IF(E347&gt;0.037,0,ROUND(IF(E347&lt;=0.003,0.7,E347^2*'Reference Standards'!$AC$387+E347*'Reference Standards'!$AC$388+'Reference Standards'!$AC$389),2)),IF('Quantification Tool'!$B$7="71e",IF(E347&gt;0.23,0,ROUND(IF(E347&lt;=0.003,0.7,E347^2*'Reference Standards'!$AD$387+E347*'Reference Standards'!$AD$388+'Reference Standards'!$AD$389),2)),IF('Quantification Tool'!$B$7="66f",IF(E347&gt;0.06,0,ROUND(IF(E347&lt;=0.003,0.85,IF(E347&lt;=0.004,0.7,E347^2*'Reference Standards'!$AE$387+E347*'Reference Standards'!$AE$388+'Reference Standards'!$AE$389)),2)),IF('Quantification Tool'!$B$7="67g",IF(E347&gt;0.11,0,ROUND(IF(E347&lt;=0.01,E347*'Reference Standards'!$AH$388+'Reference Standards'!$AH$389, E347^2*'Reference Standards'!$AF$387+E347*'Reference Standards'!$AF$388+'Reference Standards'!$AF$389),2)),IF('Quantification Tool'!$B$7="74b",IF(E347&gt;0.49,0,ROUND(IF(E347&lt;=0.01,E347*'Reference Standards'!$AH$388+'Reference Standards'!$AH$389, E347^2*'Reference Standards'!$AG$387+E347*'Reference Standards'!$AG$388+'Reference Standards'!$AG$389),2)),IF('Quantification Tool'!$B$7="65abei",IF(E347&gt;0.199,0,ROUND(IF(E347&lt;=0.01,E347*'Reference Standards'!$AI$426+'Reference Standards'!$AI$427, E347^2*'Reference Standards'!$AE$425+E347*'Reference Standards'!$AE$426+'Reference Standards'!$AE$427),2))    )))))))))))))),      IF('Quantification Tool'!$B$8&lt;=2.5, IF(OR('Quantification Tool'!$B$7="66d",'Quantification Tool'!$B$7="66e",'Quantification Tool'!$B$7="66g"),IF(E347&gt;0.05,0,ROUND(IF(E347&lt;=0.002,1,IF(E347&lt;=0.005,E347*'Reference Standards'!$AF$464+'Reference Standards'!$AF$465, E347^2*'Reference Standards'!$AB$463+E347*'Reference Standards'!$AB$464+'Reference Standards'!$AB$465)),2)), IF('Quantification Tool'!$B$7="67fhi",IF(E347&gt;0.1,0,ROUND(IF(E347&lt;=0.002,1,IF(E347&lt;=0.006,E347*'Reference Standards'!$AG$464+'Reference Standards'!$AG$465, E347^2*'Reference Standards'!$AC$463+E347*'Reference Standards'!$AC$464+'Reference Standards'!$AC$465)),2)), IF('Quantification Tool'!$B$7="65abei",IF(E347&gt;0.13,0,ROUND(IF(E347&lt;=0.003,1,IF(E347&lt;=0.008,E347*'Reference Standards'!$AH$464+'Reference Standards'!$AH$465, E347^2*'Reference Standards'!$AD$463+E347*'Reference Standards'!$AD$464+'Reference Standards'!$AD$465)),2)), IF('Quantification Tool'!$B$7="68b",IF(E347&gt;0.043,0,ROUND(IF(E347&lt;=0.004,1, IF(E347&lt;=0.005,0.7, E347^2*'Reference Standards'!$AE$463+E347*'Reference Standards'!$AE$464+'Reference Standards'!$AE$465)),2)), IF('Quantification Tool'!$B$7="69de",IF(E347&gt;=0.034,0,ROUND(IF(E347&lt;=0.003,1, IF(E347&lt;=0.006,E347*'Reference Standards'!$AG$500+'Reference Standards'!$AG$501, E347*'Reference Standards'!$AB$500+'Reference Standards'!$AB$501)),2)), IF(OR('Quantification Tool'!$B$7="68a",'Quantification Tool'!$B$7="68c"),IF(E347&gt;0.202,0,ROUND(IF(E347&lt;=0.003,1, IF(E347&lt;=0.006,E347*'Reference Standards'!$AG$500+'Reference Standards'!$AG$501, IF(E347&gt;=0.04,E347*'Reference Standards'!$AC$500+'Reference Standards'!$AC$501,E347*'Reference Standards'!$AE$500+'Reference Standards'!$AE$501))),2)), IF(OR('Quantification Tool'!$B$7="71f",'Quantification Tool'!$B$7="71g"),IF(E347&gt;0.631,0,ROUND(IF(E347&lt;=0.003,1, IF(E347&lt;=0.006,E347*'Reference Standards'!$AG$500+'Reference Standards'!$AG$501, IF(E347&gt;=0.17,E347*'Reference Standards'!$AD$500+'Reference Standards'!$AD$501,E347*'Reference Standards'!$AF$500+'Reference Standards'!$AF$501))),2)),   IF('Quantification Tool'!$B$7="71e",IF(E347&gt;1.23,0,ROUND(IF(E347&lt;=0.004,1,IF(E347&lt;=0.006,E347*'Reference Standards'!$AF$538+'Reference Standards'!$AF$539, E347^2*'Reference Standards'!$AB$537+E347*'Reference Standards'!$AB$538+'Reference Standards'!$AB$539)),2)), IF('Quantification Tool'!$B$7="67g",IF(E347&gt;0.11,0,ROUND(IF(E347&lt;=0.006,1,IF(E347&lt;=0.011,E347*'Reference Standards'!$AG$538+'Reference Standards'!$AG$539, E347^2*'Reference Standards'!$AC$537+E347*'Reference Standards'!$AC$538+'Reference Standards'!$AC$539)),2)), IF('Quantification Tool'!$B$7="65j",IF(E347&gt;0.046,0,ROUND(IF(E347&lt;=0.007,1,IF(E347&lt;=0.012,E347*'Reference Standards'!$AH$538+'Reference Standards'!$AH$539, E347^2*'Reference Standards'!$AD$537+E347*'Reference Standards'!$AD$538+'Reference Standards'!$AD$539)),2)), IF('Quantification Tool'!$B$7="66f",IF(E347&gt;0.081,0,ROUND(IF(E347&lt;=0.008,1,IF(E347&lt;=0.011,E347*'Reference Standards'!$AI$538+'Reference Standards'!$AI$539, E347^2*'Reference Standards'!$AE$537+E347*'Reference Standards'!$AE$538+'Reference Standards'!$AE$539)),2)), IF(OR('Quantification Tool'!$B$7="71h",'Quantification Tool'!$B$7="71i"),IF(E347&gt;0.37,0,ROUND(IF(E347&lt;=0.013,1,IF(E347&lt;=0.032,E347*'Reference Standards'!$AH$576+'Reference Standards'!$AH$577, IF(E347&lt;=0.3,E347*'Reference Standards'!$AF$576+'Reference Standards'!$AF$577,E347*'Reference Standards'!$AB$576+'Reference Standards'!$AB$577))),2)), IF('Quantification Tool'!$B$7="73a",IF(E347&gt;0.448,0,ROUND(IF(E347&lt;=0.071,1,IF(E347&lt;=0.086,E347*'Reference Standards'!$AJ$576+'Reference Standards'!$AJ$577, IF(E347&lt;=0.165,E347*'Reference Standards'!$AG$576+'Reference Standards'!$AG$577,E347*'Reference Standards'!$AE$576+'Reference Standards'!$AE$577))),2)),  IF('Quantification Tool'!$B$7="74b",IF(E347&gt;0.43,0,ROUND(IF(E347&lt;=0.018,1,IF(E347&lt;=0.019,0.85, IF(E347&lt;=0.02,0.7, E347^2*'Reference Standards'!$AC$575+E347*'Reference Standards'!$AC$576+'Reference Standards'!$AC$577))),2)), IF('Quantification Tool'!$B$7="74a",IF(E347&gt;0.217,0,ROUND(IF(E347&lt;=0.02,1,IF(E347&lt;=0.033,E347*'Reference Standards'!$AI$576+'Reference Standards'!$AI$577, E347^2*'Reference Standards'!$AD$575+E347*'Reference Standards'!$AD$576+'Reference Standards'!$AD$577)),2))     ))))))))))))))))))</f>
        <v/>
      </c>
      <c r="G347" s="338" t="str">
        <f>IFERROR(AVERAGE(F347),"")</f>
        <v/>
      </c>
      <c r="H347" s="598"/>
      <c r="I347" s="601"/>
      <c r="J347" s="579"/>
      <c r="K347" s="579"/>
      <c r="L347" s="21"/>
    </row>
    <row r="348" spans="1:12" ht="15.75" x14ac:dyDescent="0.25">
      <c r="A348" s="538" t="s">
        <v>62</v>
      </c>
      <c r="B348" s="517" t="s">
        <v>432</v>
      </c>
      <c r="C348" s="154" t="s">
        <v>419</v>
      </c>
      <c r="D348" s="155"/>
      <c r="E348" s="209"/>
      <c r="F348" s="339" t="str">
        <f>IF(E348="","",IF(OR('Quantification Tool'!B$7="73a",'Quantification Tool'!B$7="73b"),IF(E348&lt;1,0,IF(E348&gt;=30,1,ROUND(IF(E348&lt;22,'Reference Standards'!$AL$16*E348+'Reference Standards'!$AL$17,'Reference Standards'!$AM$16*E348+'Reference Standards'!$AM$17),2))), IF(E348&lt;1,0, IF(E348&gt;=42,1, ROUND(IF(E348&lt;32,'Reference Standards'!$AN$16*E348+'Reference Standards'!$AN$17,'Reference Standards'!$AO$16*E348+'Reference Standards'!$AO$17),2)))))</f>
        <v/>
      </c>
      <c r="G348" s="602" t="str">
        <f>IFERROR(AVERAGE(F348:F351),"")</f>
        <v/>
      </c>
      <c r="H348" s="603" t="str">
        <f>IFERROR(ROUND(AVERAGE(G348:G353),2),"")</f>
        <v/>
      </c>
      <c r="I348" s="578" t="str">
        <f>IF(H348="","",IF(H348&gt;0.69,"Functioning",IF(H348&gt;0.29,"Functioning At Risk",IF(H348&gt;-1,"Not Functioning"))))</f>
        <v/>
      </c>
      <c r="J348" s="579"/>
      <c r="K348" s="579"/>
      <c r="L348" s="21"/>
    </row>
    <row r="349" spans="1:12" ht="15.75" x14ac:dyDescent="0.25">
      <c r="A349" s="539"/>
      <c r="B349" s="518"/>
      <c r="C349" s="217" t="s">
        <v>424</v>
      </c>
      <c r="D349" s="218"/>
      <c r="E349" s="208"/>
      <c r="F349" s="340" t="str">
        <f>IF(E349="","",IF(AND('Quantification Tool'!$B$7="74b",'Quantification Tool'!$B$8&lt;=2),IF(E349&lt;0,0,IF(E349&gt;15.6,0.69,ROUND('Reference Standards'!$AL$54*E349^2+'Reference Standards'!$AL$55*E349+'Reference Standards'!$AL$56,2))),IF(AND('Quantification Tool'!$B$7="65abei",'Quantification Tool'!$B$8&lt;=2),IF(E349&lt;0,0,IF(E349&gt;=20,0.69,ROUND('Reference Standards'!$AM$54*E349^2+'Reference Standards'!$AM$55*E349+'Reference Standards'!$AM$56,2))),IF(OR(AND('Quantification Tool'!$B$7="74a",'Quantification Tool'!$B$8&gt;2,'Quantification Tool'!$B$14="January - June"),AND('Quantification Tool'!$B$7="71i",'Quantification Tool'!$B$8&gt;2,'Quantification Tool'!$B$15="SQBANK")),IF(E349&lt;0,0,IF(E349&gt;24.7,0.69,ROUND('Reference Standards'!$AN$54*E349^2+'Reference Standards'!$AN$55*E349+'Reference Standards'!$AN$56,2))),IF(OR('Quantification Tool'!$B$7="74b",'Quantification Tool'!$B$7="65abei"),IF(E349&lt;0,0,IF(E349&gt;32.7,0.69,ROUND('Reference Standards'!$AO$54*E349^2+'Reference Standards'!$AO$55*E349+'Reference Standards'!$AO$56,2))),IF(AND('Quantification Tool'!$B$7="68b",'Quantification Tool'!$B$8&gt;2),IF(E349&lt;0,0,IF(E349&gt;41.2,0.69,ROUND('Reference Standards'!$AP$54*E349^2+'Reference Standards'!$AP$55*E349+'Reference Standards'!$AP$56,2))),IF(OR(AND('Quantification Tool'!$B$7="71i",'Quantification Tool'!$B$8&lt;=2),AND(OR('Quantification Tool'!$B$7="68c",'Quantification Tool'!$B$7="68d"),'Quantification Tool'!$B$14="January - June")),IF(E349&lt;0,0,IF(E349&gt;49.2,0.69,ROUND('Reference Standards'!$AL$94*E349^2+'Reference Standards'!$AL$95*E349+'Reference Standards'!$AL$96,2))),IF(OR(AND('Quantification Tool'!$B$7="68a",'Quantification Tool'!$B$14="January - June"),AND(OR('Quantification Tool'!$B$7="68c",'Quantification Tool'!$B$7="68d"),'Quantification Tool'!$B$14="July - December")),IF(E349&lt;0,0,IF(E349&gt;53.4,0.69,ROUND('Reference Standards'!$AM$94*E349^2+'Reference Standards'!$AM$95*E349+'Reference Standards'!$AM$96,2))),IF(OR(AND('Quantification Tool'!$B$7="71i",'Quantification Tool'!$B$8&gt;2,'Quantification Tool'!$B$15="SQKICK"),AND(OR('Quantification Tool'!$B$7="67fhi",'Quantification Tool'!$B$7="67g"),'Quantification Tool'!$B$8&lt;=2),'Quantification Tool'!$B$7="65j"),IF(E349&lt;0,0,IF(E349&gt;57.8,0.69,ROUND('Reference Standards'!$AN$94*E349^2+'Reference Standards'!$AN$95*E349+'Reference Standards'!$AN$96,2))),IF(OR(AND('Quantification Tool'!$B$7="74a",'Quantification Tool'!$B$8&gt;2,'Quantification Tool'!$B$14="July - December"),AND(OR('Quantification Tool'!$B$7="67fhi",'Quantification Tool'!$B$7="67g"),'Quantification Tool'!$B$8&gt;2),'Quantification Tool'!$B$7="69de"),IF(E349&lt;0,0,IF(E349&gt;62.5,0.69,ROUND('Reference Standards'!$AO$94*E349^2+'Reference Standards'!$AO$95*E349+'Reference Standards'!$AO$96,2))),  IF(OR('Quantification Tool'!$B$7="66d",'Quantification Tool'!$B$7="66e",'Quantification Tool'!$B$7="66ik",'Quantification Tool'!$B$7="71e",'Quantification Tool'!$B$7="71f",'Quantification Tool'!$B$7="71g",'Quantification Tool'!$B$7="71h"),IF(E349&lt;0,0,IF(E349&gt;66.5,0.69,ROUND('Reference Standards'!$AP$94*E349^2+'Reference Standards'!$AP$95*E349+'Reference Standards'!$AP$96,2))),IF(OR('Quantification Tool'!$B$7="66f",'Quantification Tool'!$B$7="66g",'Quantification Tool'!$B$7="66j",AND('Quantification Tool'!$B$7="68a",'Quantification Tool'!$B$14="July - December")), IF(E349&lt;0,0,IF(E349&gt;69,0.69,ROUND('Reference Standards'!$AQ$94*E349^2+'Reference Standards'!$AQ$95*E349+'Reference Standards'!$AQ$96,2))))   )))))))))))</f>
        <v/>
      </c>
      <c r="G349" s="602"/>
      <c r="H349" s="603"/>
      <c r="I349" s="578"/>
      <c r="J349" s="579"/>
      <c r="K349" s="579"/>
      <c r="L349" s="21"/>
    </row>
    <row r="350" spans="1:12" ht="15.75" x14ac:dyDescent="0.25">
      <c r="A350" s="539"/>
      <c r="B350" s="518"/>
      <c r="C350" s="217" t="s">
        <v>428</v>
      </c>
      <c r="D350" s="218"/>
      <c r="E350" s="208"/>
      <c r="F350" s="340" t="str">
        <f>IF(E350="","",IF(AND('Quantification Tool'!$B$7="74b",'Quantification Tool'!$B$8&lt;=2),IF(E350&lt;0,0,IF(E350&gt;8.1,0.69,ROUND('Reference Standards'!$AL$131*E350^2+'Reference Standards'!$AL$132*E350+'Reference Standards'!$AL$133,2))),IF(OR('Quantification Tool'!$B$7="73a",'Quantification Tool'!$B$7="73b"),IF(E350&lt;0,0,IF(E350&gt;=28,0.69,ROUND('Reference Standards'!$AM$131*E350^2+'Reference Standards'!$AM$132*E350+'Reference Standards'!$AM$133,2))),IF(AND('Quantification Tool'!$B$7="74a",'Quantification Tool'!$B$8&gt;2,'Quantification Tool'!$B$14="January - June"),IF(E350&lt;0,0,IF(E350&gt;=32.5,0.69,ROUND('Reference Standards'!$AN$131*E350^2+'Reference Standards'!$AN$132*E350+'Reference Standards'!$AN$133,2))),IF(AND('Quantification Tool'!$B$7="71i",'Quantification Tool'!$B$8&gt;2,'Quantification Tool'!$B$15="SQBANK"),IF(E350&lt;0,0,IF(E350&gt;=37,0.69,ROUND('Reference Standards'!$AO$131*E350^2+'Reference Standards'!$AO$132*E350+'Reference Standards'!$AO$133,2))),IF(OR(AND(OR('Quantification Tool'!$B$7="65abei",'Quantification Tool'!$B$7="74b"),'Quantification Tool'!$B$8&gt;2),AND('Quantification Tool'!$B$7="71i",'Quantification Tool'!$B$8&gt;2,'Quantification Tool'!$B$15="SQKICK")),IF(E350&lt;0,0,IF(E350&gt;42.6,0.69,ROUND('Reference Standards'!$AP$131*E350^2+'Reference Standards'!$AP$132*E350+'Reference Standards'!$AP$133,2))),     IF(OR(AND('Quantification Tool'!$B$7="65abei",'Quantification Tool'!$B$8&lt;=2),AND(OR('Quantification Tool'!$B$7="68c",'Quantification Tool'!$B$7="68d"),'Quantification Tool'!$B$14="July - December"),'Quantification Tool'!$B$7="71e"),IF(E350&lt;0,0,IF(E350&gt;=48,0.69,ROUND('Reference Standards'!$AL$171*E350^2+'Reference Standards'!$AL$172*E350+'Reference Standards'!$AL$173,2))),IF(OR('Quantification Tool'!$B$7="65j",'Quantification Tool'!$B$7="67fhi",'Quantification Tool'!$B$7="67g",AND('Quantification Tool'!$B$7="74a",'Quantification Tool'!$B$14="July - December",'Quantification Tool'!$B$8&gt;2),AND('Quantification Tool'!$B$7="71i",'Quantification Tool'!$B$8&lt;=2)),IF(E350&lt;0,0,IF(E350&gt;=53,0.69,ROUND('Reference Standards'!$AM$171*E350^2+'Reference Standards'!$AM$172*E350+'Reference Standards'!$AM$173,2))),IF(OR(AND(OR('Quantification Tool'!$B$7="68b",'Quantification Tool'!$B$7="71f",'Quantification Tool'!$B$7="71g",'Quantification Tool'!$B$7="71h"),'Quantification Tool'!$B$8&gt;2),'Quantification Tool'!$B$7="68a"),IF(E350&lt;0,0,IF(E350&gt;=57,0.69,ROUND('Reference Standards'!$AN$171*E350^2+'Reference Standards'!$AN$172*E350+'Reference Standards'!$AN$173,2))),IF(OR('Quantification Tool'!$B$7="66f",'Quantification Tool'!$B$7="66g",'Quantification Tool'!$B$7="66j",AND(OR('Quantification Tool'!$B$7="71f",'Quantification Tool'!$B$7="71g",'Quantification Tool'!$B$7="71h"),'Quantification Tool'!$B$8&lt;=2)),IF(E350&lt;0,0,IF(E350&gt;=60,0.69,ROUND('Reference Standards'!$AO$171*E350^2+'Reference Standards'!$AO$172*E350+'Reference Standards'!$AO$173,2))),  IF(OR('Quantification Tool'!$B$7="66d",'Quantification Tool'!$B$7="66e",'Quantification Tool'!$B$7="66ik", AND(OR('Quantification Tool'!$B$7="68c",'Quantification Tool'!$B$7="68d"),'Quantification Tool'!$B$14="January - June"),AND('Quantification Tool'!$B$7="69de",'Quantification Tool'!$B$14="July - December")),IF(E350&lt;0,0,IF(E350&gt;=67.5,0.69,ROUND('Reference Standards'!$AP$171*E350^2+'Reference Standards'!$AP$172*E350+'Reference Standards'!$AP$173,2))),IF(AND('Quantification Tool'!$B$7="69de",'Quantification Tool'!$B$14="January - June"), IF(E350&lt;0,0,IF(E350&gt;=72,0.69,ROUND('Reference Standards'!$AQ$171*E350^2+'Reference Standards'!$AQ$172*E350+'Reference Standards'!$AQ$173,2))))   )))))))))))</f>
        <v/>
      </c>
      <c r="G350" s="602"/>
      <c r="H350" s="603"/>
      <c r="I350" s="578"/>
      <c r="J350" s="579"/>
      <c r="K350" s="579"/>
      <c r="L350" s="21"/>
    </row>
    <row r="351" spans="1:12" ht="15.75" x14ac:dyDescent="0.25">
      <c r="A351" s="539"/>
      <c r="B351" s="519"/>
      <c r="C351" s="156" t="s">
        <v>425</v>
      </c>
      <c r="D351" s="88"/>
      <c r="E351" s="210"/>
      <c r="F351" s="340" t="str">
        <f>IF(E351="","",IF(OR('Quantification Tool'!$B$7="67fhi",'Quantification Tool'!$B$7="67g",'Quantification Tool'!$B$7="71e",'Quantification Tool'!$B$7="73a",'Quantification Tool'!$B$7="73b",AND(OR('Quantification Tool'!$B$7="71f",'Quantification Tool'!$B$7="71g",'Quantification Tool'!$B$7="71h"),'Quantification Tool'!$B$8&gt;2)),IF(E351&gt;100,0,IF(E351&lt;15,0.69,ROUND('Reference Standards'!$AL$208*E351^2+'Reference Standards'!$AL$209*E351+'Reference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),IF(E351&gt;100,0,IF(E351&lt;19,0.69,ROUND('Reference Standards'!$AM$208*E351^2+'Reference Standards'!$AM$209*E351+'Reference Standards'!$AM$210,2))),    IF(OR(AND('Quantification Tool'!$B$7="69de",'Quantification Tool'!$B$14="January - June"),AND('Quantification Tool'!$B$7="71i",'Quantification Tool'!$B$8&gt;2,'Quantification Tool'!$B$15="SQKICK" )),IF(E351&gt;100,0,IF(E351&lt;22,0.69,ROUND('Reference Standards'!$AN$208*E351^2+'Reference Standards'!$AN$209*E351+'Reference Standards'!$AN$210,2))),    IF(OR('Quantification Tool'!$B$7="65j",AND('Quantification Tool'!$B$7="68b",'Quantification Tool'!$B$8&gt;2)),IF(E351&gt;100,0,IF(E351&lt;24,0.69,ROUND('Reference Standards'!$AO$208*E351^2+'Reference Standards'!$AO$209*E351+'Reference Standards'!$AO$210,2))),    IF(AND(OR('Quantification Tool'!$B$7="65abei",'Quantification Tool'!$B$7="71f",'Quantification Tool'!$B$7="71g",'Quantification Tool'!$B$7="71h"),'Quantification Tool'!$B$8&lt;=2),IF(E351&gt;95,0,IF(E351&lt;33,0.69,ROUND('Reference Standards'!$AL$246*E351^2+'Reference Standards'!$AL$247*E351+'Reference Standards'!$AL$248,2))),   IF(AND(OR('Quantification Tool'!$B$7="65abei",'Quantification Tool'!$B$7="74b"),'Quantification Tool'!$B$8&gt;2),IF(E351&gt;97,0,IF(E351&lt;36,0.69,ROUND('Reference Standards'!$AM$246*E351^2+'Reference Standards'!$AM$247*E351+'Reference Standards'!$AM$248,2))),  IF(AND('Quantification Tool'!$B$7="74a",'Quantification Tool'!$B$14="January - June",'Quantification Tool'!$B$8&gt;2),IF(E351&gt;93,0,IF(E351&lt;52,0.69,ROUND('Reference Standards'!$AN$246*E351^2+'Reference Standards'!$AN$247*E351+'Reference Standards'!$AN$248,2))),   IF(AND('Quantification Tool'!$B$7="74b",'Quantification Tool'!$B$8&lt;=2),IF(E351&gt;97,0,IF(E351&lt;62,0.69,ROUND('Reference Standards'!$AO$246*E351^2+'Reference Standards'!$AO$247*E351+'Reference Standards'!$AO$248,2)))  )))))))))</f>
        <v/>
      </c>
      <c r="G351" s="602"/>
      <c r="H351" s="603"/>
      <c r="I351" s="578"/>
      <c r="J351" s="579"/>
      <c r="K351" s="579"/>
      <c r="L351" s="21"/>
    </row>
    <row r="352" spans="1:12" ht="15.75" x14ac:dyDescent="0.25">
      <c r="A352" s="539"/>
      <c r="B352" s="530" t="s">
        <v>86</v>
      </c>
      <c r="C352" s="154" t="s">
        <v>255</v>
      </c>
      <c r="D352" s="155"/>
      <c r="E352" s="209"/>
      <c r="F352" s="339" t="str">
        <f>IF(E352="","",IF(E352=1,0.15,IF(E352=3,0.5,IF(E352=5,0.85,0))))</f>
        <v/>
      </c>
      <c r="G352" s="604" t="str">
        <f>IFERROR(AVERAGE(F352:F353),"")</f>
        <v/>
      </c>
      <c r="H352" s="603"/>
      <c r="I352" s="578"/>
      <c r="J352" s="579"/>
      <c r="K352" s="579"/>
      <c r="L352" s="21"/>
    </row>
    <row r="353" spans="1:12" ht="15.75" x14ac:dyDescent="0.25">
      <c r="A353" s="540"/>
      <c r="B353" s="530"/>
      <c r="C353" s="156" t="s">
        <v>420</v>
      </c>
      <c r="D353" s="88"/>
      <c r="E353" s="210"/>
      <c r="F353" s="341" t="str">
        <f>IF(E353="","",IF(E353=1,0.15,IF(E353=3,0.5,IF(E353=5,0.85,0))))</f>
        <v/>
      </c>
      <c r="G353" s="605"/>
      <c r="H353" s="603"/>
      <c r="I353" s="578"/>
      <c r="J353" s="579"/>
      <c r="K353" s="579"/>
      <c r="L353" s="21"/>
    </row>
    <row r="354" spans="1:12" x14ac:dyDescent="0.25">
      <c r="L354" s="21"/>
    </row>
    <row r="355" spans="1:12" x14ac:dyDescent="0.25">
      <c r="L355" s="21"/>
    </row>
    <row r="356" spans="1:12" ht="21" x14ac:dyDescent="0.35">
      <c r="A356" s="188" t="s">
        <v>173</v>
      </c>
      <c r="B356" s="312"/>
      <c r="C356" s="315" t="s">
        <v>395</v>
      </c>
      <c r="D356" s="312"/>
      <c r="E356" s="313"/>
      <c r="F356" s="314"/>
      <c r="G356" s="450" t="s">
        <v>18</v>
      </c>
      <c r="H356" s="451"/>
      <c r="I356" s="451"/>
      <c r="J356" s="451"/>
      <c r="K356" s="452"/>
    </row>
    <row r="357" spans="1:12" ht="16.5" customHeight="1" x14ac:dyDescent="0.25">
      <c r="A357" s="181" t="s">
        <v>1</v>
      </c>
      <c r="B357" s="181" t="s">
        <v>2</v>
      </c>
      <c r="C357" s="498" t="s">
        <v>3</v>
      </c>
      <c r="D357" s="573"/>
      <c r="E357" s="181" t="s">
        <v>15</v>
      </c>
      <c r="F357" s="342" t="s">
        <v>16</v>
      </c>
      <c r="G357" s="342" t="s">
        <v>19</v>
      </c>
      <c r="H357" s="342" t="s">
        <v>20</v>
      </c>
      <c r="I357" s="342" t="s">
        <v>20</v>
      </c>
      <c r="J357" s="342" t="s">
        <v>21</v>
      </c>
      <c r="K357" s="343" t="s">
        <v>21</v>
      </c>
    </row>
    <row r="358" spans="1:12" ht="15.75" customHeight="1" x14ac:dyDescent="0.25">
      <c r="A358" s="453" t="s">
        <v>68</v>
      </c>
      <c r="B358" s="294" t="s">
        <v>99</v>
      </c>
      <c r="C358" s="62" t="s">
        <v>421</v>
      </c>
      <c r="D358" s="62"/>
      <c r="E358" s="202"/>
      <c r="F358" s="316" t="str">
        <f>IF(E358="","",IF(E358&gt;78,0,IF(E358&lt;30,1,ROUND('Reference Standards'!C$14*E358^2+'Reference Standards'!C$15*E358+'Reference Standards'!C$16,2))))</f>
        <v/>
      </c>
      <c r="G358" s="317" t="str">
        <f>IFERROR(AVERAGE(F358),"")</f>
        <v/>
      </c>
      <c r="H358" s="576" t="str">
        <f>IFERROR(ROUND(AVERAGE(G358:G362),2),"")</f>
        <v/>
      </c>
      <c r="I358" s="578" t="str">
        <f>IF(H358="","",IF(H358&gt;0.69,"Functioning",IF(H358&gt;0.29,"Functioning At Risk",IF(H358&gt;-1,"Not Functioning"))))</f>
        <v/>
      </c>
      <c r="J358" s="579" t="str">
        <f>IF(AND(H358="",H363="",H365="",H384="",H388=""),"",ROUND((IF(H358="",0,H358)*0.2)+(IF(H363="",0,H363)*0.2)+(IF(H365="",0,H365)*0.2)+(IF(H384="",0,H384)*0.2)+(IF(H388="",0,H388)*0.2),2))</f>
        <v/>
      </c>
      <c r="K358" s="579" t="str">
        <f>IF(J358="","",IF(J358&lt;0.3, "Not Functioning",IF(OR(H358&lt;0.7,H363&lt;0.7,H365&lt;0.7,H384&lt;0.7,H388&lt;0.7),"Functioning At Risk",IF(J358&lt;0.7,"Functioning At Risk","Functioning"))))</f>
        <v/>
      </c>
    </row>
    <row r="359" spans="1:12" ht="15.75" customHeight="1" x14ac:dyDescent="0.25">
      <c r="A359" s="454"/>
      <c r="B359" s="541" t="s">
        <v>154</v>
      </c>
      <c r="C359" s="170" t="s">
        <v>202</v>
      </c>
      <c r="D359" s="169"/>
      <c r="E359" s="167"/>
      <c r="F359" s="316" t="str">
        <f>IF(E359="","",IF(E359&gt;=1,1,IF(E359&lt;=0,0,ROUND(E359,2))))</f>
        <v/>
      </c>
      <c r="G359" s="580" t="str">
        <f>IFERROR(AVERAGE(F359:F362),"")</f>
        <v/>
      </c>
      <c r="H359" s="577"/>
      <c r="I359" s="578"/>
      <c r="J359" s="579"/>
      <c r="K359" s="579"/>
    </row>
    <row r="360" spans="1:12" ht="15.75" customHeight="1" x14ac:dyDescent="0.25">
      <c r="A360" s="454"/>
      <c r="B360" s="542"/>
      <c r="C360" s="171" t="s">
        <v>155</v>
      </c>
      <c r="D360" s="62"/>
      <c r="E360" s="202"/>
      <c r="F360" s="318" t="str">
        <f>IF(E360="","",IF(E360&gt;3,0,IF(E360=0,1,ROUND('Reference Standards'!C$49*E360+'Reference Standards'!C$50,2))))</f>
        <v/>
      </c>
      <c r="G360" s="581"/>
      <c r="H360" s="577"/>
      <c r="I360" s="578"/>
      <c r="J360" s="579"/>
      <c r="K360" s="579"/>
    </row>
    <row r="361" spans="1:12" ht="15.75" customHeight="1" x14ac:dyDescent="0.25">
      <c r="A361" s="454"/>
      <c r="B361" s="542"/>
      <c r="C361" s="171" t="s">
        <v>429</v>
      </c>
      <c r="D361" s="62"/>
      <c r="E361" s="202"/>
      <c r="F361" s="318" t="str">
        <f>IF(E361="","",IF(E361&gt;=30,1,ROUND(E361^2*'Reference Standards'!$C$82+E361*'Reference Standards'!$C$83+'Reference Standards'!$C$84,2)))</f>
        <v/>
      </c>
      <c r="G361" s="581"/>
      <c r="H361" s="577"/>
      <c r="I361" s="578"/>
      <c r="J361" s="579"/>
      <c r="K361" s="579"/>
    </row>
    <row r="362" spans="1:12" ht="15.75" customHeight="1" x14ac:dyDescent="0.25">
      <c r="A362" s="454"/>
      <c r="B362" s="543"/>
      <c r="C362" s="172" t="s">
        <v>391</v>
      </c>
      <c r="D362" s="64"/>
      <c r="E362" s="203"/>
      <c r="F362" s="319" t="str">
        <f>IF(E362="","",IF('Quantification Tool'!B$16="Sandy",IF(E362&gt;1.94,0,IF(E362&lt;1.45,1,ROUND(E362*'Reference Standards'!$C$118+'Reference Standards'!$C$119,2))),IF('Quantification Tool'!B$16="Silty",IF(E362&gt;1.83,0,IF(E362&lt;1.21,1,ROUND(E362*'Reference Standards'!$D$118+'Reference Standards'!$D$119,2))),IF('Quantification Tool'!B$16="Clayey",IF(E362&gt;1.74,0,IF(E362&lt;0.82,1,ROUND(E362*'Reference Standards'!$E$118+'Reference Standards'!$E$119,2)))))))</f>
        <v/>
      </c>
      <c r="G362" s="582"/>
      <c r="H362" s="577"/>
      <c r="I362" s="578"/>
      <c r="J362" s="579"/>
      <c r="K362" s="579"/>
    </row>
    <row r="363" spans="1:12" ht="15" customHeight="1" x14ac:dyDescent="0.25">
      <c r="A363" s="547" t="s">
        <v>6</v>
      </c>
      <c r="B363" s="547" t="s">
        <v>7</v>
      </c>
      <c r="C363" s="66" t="s">
        <v>8</v>
      </c>
      <c r="D363" s="66"/>
      <c r="E363" s="202"/>
      <c r="F363" s="320" t="str">
        <f>IF(E363="","",ROUND(IF(E363&gt;1.6,0,IF(E363&lt;=1,1,E363^2*'Reference Standards'!K$14+E363*'Reference Standards'!K$15+'Reference Standards'!K$16)),2))</f>
        <v/>
      </c>
      <c r="G363" s="583" t="str">
        <f>IFERROR(AVERAGE(F363:F364),"")</f>
        <v/>
      </c>
      <c r="H363" s="583" t="str">
        <f>IFERROR(ROUND(AVERAGE(G363),2),"")</f>
        <v/>
      </c>
      <c r="I363" s="586" t="str">
        <f>IF(H363="","",IF(H363&gt;0.69,"Functioning",IF(H363&gt;0.29,"Functioning At Risk",IF(H363&gt;-1,"Not Functioning"))))</f>
        <v/>
      </c>
      <c r="J363" s="579"/>
      <c r="K363" s="579"/>
    </row>
    <row r="364" spans="1:12" ht="15" customHeight="1" x14ac:dyDescent="0.25">
      <c r="A364" s="549"/>
      <c r="B364" s="548"/>
      <c r="C364" s="66" t="s">
        <v>9</v>
      </c>
      <c r="D364" s="66"/>
      <c r="E364" s="203"/>
      <c r="F364" s="67" t="str">
        <f>IF(E364="","",(IF(OR('Quantification Tool'!B$6="A",'Quantification Tool'!B$6="B",'Quantification Tool'!$B$6="Bc"),IF(E364&lt;1.2,0,IF(E364&gt;=2.2,1,ROUND(IF(E364&lt;1.4,E364*'Reference Standards'!$K$84+'Reference Standards'!$K$85,E364*'Reference Standards'!$L$84+'Reference Standards'!$L$85),2))),IF(OR('Quantification Tool'!B$6="C",'Quantification Tool'!B$6="E"),IF(E364&lt;2,0,IF(E364&gt;=5,1,ROUND(IF(E364&lt;2.4,E364*'Reference Standards'!$L$49+'Reference Standards'!$L$50,E364*'Reference Standards'!$K$49+'Reference Standards'!$K$50),2)))))))</f>
        <v/>
      </c>
      <c r="G364" s="584"/>
      <c r="H364" s="585"/>
      <c r="I364" s="587"/>
      <c r="J364" s="579"/>
      <c r="K364" s="579"/>
    </row>
    <row r="365" spans="1:12" ht="15" customHeight="1" x14ac:dyDescent="0.25">
      <c r="A365" s="464" t="s">
        <v>27</v>
      </c>
      <c r="B365" s="553" t="s">
        <v>28</v>
      </c>
      <c r="C365" s="74" t="s">
        <v>422</v>
      </c>
      <c r="D365" s="308"/>
      <c r="E365" s="75"/>
      <c r="F365" s="321" t="str">
        <f>IF(E365="","",IF(E365&gt;700,1,IF(E365&lt;300,ROUND('Reference Standards'!$S$14*(E365^2)+'Reference Standards'!$S$15*E365+'Reference Standards'!$S$16,2),ROUND('Reference Standards'!$T$15*E365+'Reference Standards'!$T$16,2))))</f>
        <v/>
      </c>
      <c r="G365" s="593" t="str">
        <f>IFERROR(AVERAGE(F365:F366),"")</f>
        <v/>
      </c>
      <c r="H365" s="588" t="str">
        <f>IFERROR(ROUND(AVERAGE(G365:G383),2),"")</f>
        <v/>
      </c>
      <c r="I365" s="579" t="str">
        <f>IF(H365="","",IF(H365&gt;0.69,"Functioning",IF(H365&gt;0.29,"Functioning At Risk",IF(H365&gt;-1,"Not Functioning"))))</f>
        <v/>
      </c>
      <c r="J365" s="579"/>
      <c r="K365" s="579"/>
    </row>
    <row r="366" spans="1:12" ht="15" customHeight="1" x14ac:dyDescent="0.25">
      <c r="A366" s="465"/>
      <c r="B366" s="554"/>
      <c r="C366" s="77" t="s">
        <v>394</v>
      </c>
      <c r="D366" s="309"/>
      <c r="E366" s="65"/>
      <c r="F366" s="322" t="str">
        <f>IF(E366="","",IF(E366&gt;=30,1,IF(E366&lt;16,ROUND('Reference Standards'!$S$47*(E366^2)+'Reference Standards'!$S$48*E366+'Reference Standards'!$S$49,2),ROUND('Reference Standards'!$T$48*E366+'Reference Standards'!$T$49,2))))</f>
        <v/>
      </c>
      <c r="G366" s="595"/>
      <c r="H366" s="588"/>
      <c r="I366" s="579"/>
      <c r="J366" s="579"/>
      <c r="K366" s="579"/>
    </row>
    <row r="367" spans="1:12" ht="15.75" x14ac:dyDescent="0.25">
      <c r="A367" s="465"/>
      <c r="B367" s="465" t="s">
        <v>51</v>
      </c>
      <c r="C367" s="71" t="s">
        <v>92</v>
      </c>
      <c r="D367" s="71"/>
      <c r="E367" s="167"/>
      <c r="F367" s="323" t="str">
        <f>IF(E367="","",ROUND(IF(E367&gt;0.7,0,IF(E367&lt;=0.1,1,E367^3*'Reference Standards'!S$81+E367^2*'Reference Standards'!S$82+E367*'Reference Standards'!S$83+'Reference Standards'!S$84)),2))</f>
        <v/>
      </c>
      <c r="G367" s="590" t="str">
        <f>IFERROR(IF(E367="",AVERAGE(F368:F369),IF(E368="",F367,MAX(F367,AVERAGE(F368:F369)))),"")</f>
        <v/>
      </c>
      <c r="H367" s="589"/>
      <c r="I367" s="579"/>
      <c r="J367" s="579"/>
      <c r="K367" s="579"/>
    </row>
    <row r="368" spans="1:12" ht="15.75" x14ac:dyDescent="0.25">
      <c r="A368" s="465"/>
      <c r="B368" s="465"/>
      <c r="C368" s="71" t="s">
        <v>52</v>
      </c>
      <c r="D368" s="71"/>
      <c r="E368" s="202"/>
      <c r="F368" s="323" t="str">
        <f>IF(E368="","",IF(OR(E368="Ex/Ex",E368="Ex/VH"),0, IF(OR(E368="Ex/H",E368="VH/Ex",E368="VH/VH", E368="H/Ex",E368="H/VH",E368="M/Ex"),0.1,IF(OR(E368="Ex/M",E368="VH/H",E368="H/H", E368="M/VH"),0.2, IF(OR(E368="Ex/L",E368="VH/M",E368="H/M", E368="M/H",E368="L/Ex"),0.3, IF(OR(E368="Ex/VL",E368="VH/L",E368="H/L"),0.4, IF(OR(E368="VH/VL",E368="H/VL",E368="M/M", E368="L/VH"),0.5, IF(OR(E368="M/L",E368="L/H"),0.6, IF(OR(E368="M/VL",E368="L/M"),0.7, IF(OR(E368="L/L",E368="L/VL"),1))))))))))</f>
        <v/>
      </c>
      <c r="G368" s="590"/>
      <c r="H368" s="589"/>
      <c r="I368" s="579"/>
      <c r="J368" s="579"/>
      <c r="K368" s="579"/>
    </row>
    <row r="369" spans="1:12" ht="15.75" x14ac:dyDescent="0.25">
      <c r="A369" s="465"/>
      <c r="B369" s="466"/>
      <c r="C369" s="73" t="s">
        <v>102</v>
      </c>
      <c r="D369" s="73"/>
      <c r="E369" s="203"/>
      <c r="F369" s="324" t="str">
        <f>IF(E369="","",ROUND(IF(E369&gt;40,0,IF(E369&lt;5,1,E369^3*'Reference Standards'!S$116+E369^2*'Reference Standards'!S$117+E369*'Reference Standards'!S$118+'Reference Standards'!S$119)),2))</f>
        <v/>
      </c>
      <c r="G369" s="590"/>
      <c r="H369" s="589"/>
      <c r="I369" s="579"/>
      <c r="J369" s="579"/>
      <c r="K369" s="579"/>
    </row>
    <row r="370" spans="1:12" ht="15.75" x14ac:dyDescent="0.25">
      <c r="A370" s="465"/>
      <c r="B370" s="465" t="s">
        <v>53</v>
      </c>
      <c r="C370" s="74" t="s">
        <v>120</v>
      </c>
      <c r="D370" s="78"/>
      <c r="E370" s="167"/>
      <c r="F370" s="325" t="str">
        <f>IF(E370="","",ROUND(IF(E370&gt;90,1,E370^2*'Reference Standards'!S$151+E370*'Reference Standards'!S$152+'Reference Standards'!S$153),2))</f>
        <v/>
      </c>
      <c r="G370" s="591" t="str">
        <f>IFERROR(ROUND(AVERAGE(F370:F377),2),"")</f>
        <v/>
      </c>
      <c r="H370" s="589"/>
      <c r="I370" s="579"/>
      <c r="J370" s="579"/>
      <c r="K370" s="579"/>
    </row>
    <row r="371" spans="1:12" ht="15.75" x14ac:dyDescent="0.25">
      <c r="A371" s="465"/>
      <c r="B371" s="465"/>
      <c r="C371" s="76" t="s">
        <v>121</v>
      </c>
      <c r="D371" s="71"/>
      <c r="E371" s="202"/>
      <c r="F371" s="323" t="str">
        <f>IF(E371="","",ROUND(IF(E371&gt;90,1,E371^2*'Reference Standards'!S$151+E371*'Reference Standards'!S$152+'Reference Standards'!S$153),2))</f>
        <v/>
      </c>
      <c r="G371" s="590"/>
      <c r="H371" s="589"/>
      <c r="I371" s="579"/>
      <c r="J371" s="579"/>
      <c r="K371" s="579"/>
    </row>
    <row r="372" spans="1:12" ht="15.75" x14ac:dyDescent="0.25">
      <c r="A372" s="465"/>
      <c r="B372" s="465"/>
      <c r="C372" s="76" t="s">
        <v>430</v>
      </c>
      <c r="D372" s="71"/>
      <c r="E372" s="202"/>
      <c r="F372" s="323" t="str">
        <f>IF(E372="","",ROUND(IF(OR('Quantification Tool'!B$6="A",'Quantification Tool'!B$6="B",'Quantification Tool'!B$6="Bc"),IF(E372&gt;=50,1, IF(E372&lt;30, E372*'Reference Standards'!#REF!+'Reference Standards'!#REF!, E372*'Reference Standards'!#REF!+'Reference Standards'!#REF!)), IF(E372&gt;=150,1,IF(E372&lt;48, E372^2*'Reference Standards'!S$220+E372*'Reference Standards'!S$221+'Reference Standards'!S$222, E372*'Reference Standards'!T$220+'Reference Standards'!T$221))),2))</f>
        <v/>
      </c>
      <c r="G372" s="590"/>
      <c r="H372" s="589"/>
      <c r="I372" s="579"/>
      <c r="J372" s="579"/>
      <c r="K372" s="579"/>
    </row>
    <row r="373" spans="1:12" ht="15.75" x14ac:dyDescent="0.25">
      <c r="A373" s="465"/>
      <c r="B373" s="465"/>
      <c r="C373" s="76" t="s">
        <v>431</v>
      </c>
      <c r="D373" s="71"/>
      <c r="E373" s="202"/>
      <c r="F373" s="323" t="str">
        <f>IF(E373="","",ROUND(IF(OR('Quantification Tool'!B$6="A",'Quantification Tool'!B$6="B",'Quantification Tool'!B$6="Bc"),IF(E373&gt;=50,1, IF(E373&lt;30, E373*'Reference Standards'!#REF!+'Reference Standards'!#REF!, E373*'Reference Standards'!#REF!+'Reference Standards'!#REF!)), IF(E373&gt;=150,1,IF(E373&lt;45, E373^2*'Reference Standards'!S$220+E373*'Reference Standards'!S$221+'Reference Standards'!S$222, E373*'Reference Standards'!T$220+'Reference Standards'!T$221))),2))</f>
        <v/>
      </c>
      <c r="G373" s="590"/>
      <c r="H373" s="589"/>
      <c r="I373" s="579"/>
      <c r="J373" s="579"/>
      <c r="K373" s="579"/>
    </row>
    <row r="374" spans="1:12" ht="15.75" x14ac:dyDescent="0.25">
      <c r="A374" s="465"/>
      <c r="B374" s="465"/>
      <c r="C374" s="71" t="s">
        <v>128</v>
      </c>
      <c r="D374" s="71"/>
      <c r="E374" s="202"/>
      <c r="F374" s="323" t="str">
        <f>IF(E374="","",ROUND(IF(E374&gt;100,1,E374^2*'Reference Standards'!S$185+E374*'Reference Standards'!S$186+'Reference Standards'!S$187),2))</f>
        <v/>
      </c>
      <c r="G374" s="590"/>
      <c r="H374" s="589"/>
      <c r="I374" s="579"/>
      <c r="J374" s="579"/>
      <c r="K374" s="579"/>
      <c r="L374" s="21"/>
    </row>
    <row r="375" spans="1:12" ht="15.75" x14ac:dyDescent="0.25">
      <c r="A375" s="465"/>
      <c r="B375" s="465"/>
      <c r="C375" s="71" t="s">
        <v>129</v>
      </c>
      <c r="D375" s="71"/>
      <c r="E375" s="202"/>
      <c r="F375" s="323" t="str">
        <f>IF(E375="","",ROUND(IF(E375&gt;100,1,E375^2*'Reference Standards'!S$185+E375*'Reference Standards'!S$186+'Reference Standards'!S$187),2))</f>
        <v/>
      </c>
      <c r="G375" s="590"/>
      <c r="H375" s="589"/>
      <c r="I375" s="579"/>
      <c r="J375" s="579"/>
      <c r="K375" s="579"/>
      <c r="L375" s="21"/>
    </row>
    <row r="376" spans="1:12" ht="15.75" x14ac:dyDescent="0.25">
      <c r="A376" s="465"/>
      <c r="B376" s="465"/>
      <c r="C376" s="76" t="s">
        <v>165</v>
      </c>
      <c r="D376" s="71"/>
      <c r="E376" s="202"/>
      <c r="F376" s="323" t="str">
        <f>IF(E376="","",ROUND(IF(E376&gt;=300,0.5,E376*'Reference Standards'!S$253),2))</f>
        <v/>
      </c>
      <c r="G376" s="590"/>
      <c r="H376" s="589"/>
      <c r="I376" s="579"/>
      <c r="J376" s="579"/>
      <c r="K376" s="579"/>
      <c r="L376" s="21"/>
    </row>
    <row r="377" spans="1:12" ht="15.75" x14ac:dyDescent="0.25">
      <c r="A377" s="465"/>
      <c r="B377" s="466"/>
      <c r="C377" s="77" t="s">
        <v>166</v>
      </c>
      <c r="D377" s="79"/>
      <c r="E377" s="202"/>
      <c r="F377" s="323" t="str">
        <f>IF(E377="","",ROUND(IF(E377&gt;=300,0.5,E377*'Reference Standards'!S$253),2))</f>
        <v/>
      </c>
      <c r="G377" s="592"/>
      <c r="H377" s="589"/>
      <c r="I377" s="579"/>
      <c r="J377" s="579"/>
      <c r="K377" s="579"/>
      <c r="L377" s="21"/>
    </row>
    <row r="378" spans="1:12" ht="15.75" x14ac:dyDescent="0.25">
      <c r="A378" s="465"/>
      <c r="B378" s="69" t="s">
        <v>130</v>
      </c>
      <c r="C378" s="89" t="s">
        <v>168</v>
      </c>
      <c r="D378" s="71"/>
      <c r="E378" s="53"/>
      <c r="F378" s="326" t="str">
        <f>IF(E378="","",IF('Quantification Tool'!B$9="Gravel",IF(E378&gt;0.1,1,IF(E378&lt;=0.01,0,ROUND(E378*'Reference Standards'!$S$289+'Reference Standards'!$S$290,2)))))</f>
        <v/>
      </c>
      <c r="G378" s="327" t="str">
        <f>IFERROR(AVERAGE(F378),"")</f>
        <v/>
      </c>
      <c r="H378" s="589"/>
      <c r="I378" s="579"/>
      <c r="J378" s="579"/>
      <c r="K378" s="579"/>
      <c r="L378" s="21"/>
    </row>
    <row r="379" spans="1:12" ht="15.75" x14ac:dyDescent="0.25">
      <c r="A379" s="465"/>
      <c r="B379" s="464" t="s">
        <v>54</v>
      </c>
      <c r="C379" s="78" t="s">
        <v>55</v>
      </c>
      <c r="D379" s="78"/>
      <c r="E379" s="209"/>
      <c r="F379" s="328" t="str">
        <f>IF(E379="","",   IF(AND('Quantification Tool'!$B$6="E",'Quantification Tool'!$B$9="Gravel"),ROUND(IF(OR(E379&lt;=2.3,E379&gt;=10.1),0,IF(E379&lt;4,E379*'Reference Standards'!$S$325+'Reference Standards'!$S$326,IF(E379&lt;=7.5,1,E379*'Reference Standards'!$T$325+'Reference Standards'!$T$326))),2),    IF(AND('Quantification Tool'!$B$6="E",'Quantification Tool'!$B$9="Sand"),ROUND(IF(OR(E379&lt;3,E379&gt;6.7),0,IF(E379&lt;=5,1,E379*'Reference Standards'!$S$357+'Reference Standards'!$S$358)),2),    IF(AND('Quantification Tool'!$B$6="C",OR('Quantification Tool'!$B$9="Gravel",'Quantification Tool'!$B$9="Sand")),ROUND(IF(OR(E379&lt;=2.3,E379&gt;=8.1),0,IF(E379&lt;4,E379*'Reference Standards'!$S$391+'Reference Standards'!$S$392,IF(E379&lt;=5.5,1,E379*'Reference Standards'!$T$391+'Reference Standards'!$T$392))),2), IF(AND(OR('Quantification Tool'!$B$6="Bc",'Quantification Tool'!$B$6="B"),'Quantification Tool'!$B$9="Gravel"),ROUND(IF(E379&gt;=7.1,0,IF(E379&gt;4.5,E379*'Reference Standards'!$S$423+'Reference Standards'!$S$424,1)),2))))))</f>
        <v/>
      </c>
      <c r="G379" s="593" t="str">
        <f>IFERROR(AVERAGE(F379:F382),"")</f>
        <v/>
      </c>
      <c r="H379" s="589"/>
      <c r="I379" s="579"/>
      <c r="J379" s="579"/>
      <c r="K379" s="579"/>
      <c r="L379" s="21"/>
    </row>
    <row r="380" spans="1:12" ht="15.75" x14ac:dyDescent="0.25">
      <c r="A380" s="465"/>
      <c r="B380" s="465"/>
      <c r="C380" s="71" t="s">
        <v>56</v>
      </c>
      <c r="D380" s="71"/>
      <c r="E380" s="208"/>
      <c r="F380" s="329" t="str">
        <f>IF(E380="","",IF(E380&lt;1.25,0,IF(E380&gt;=2.8,1,IF(AND(OR('Quantification Tool'!B$6="B", 'Quantification Tool'!B$6="Bc"),'Quantification Tool'!$B$9="Gravel"),ROUND(E380^2*'Reference Standards'!S$489+E380*'Reference Standards'!S$490+'Reference Standards'!S$491,2), IF(AND(OR('Quantification Tool'!B$6="C", 'Quantification Tool'!B$6="E"),OR('Quantification Tool'!$B$9="Gravel",'Quantification Tool'!$B$9="Sand")), ROUND(IF(E380&lt;=1.7,E380*'Reference Standards'!$S$457+'Reference Standards'!$S$458,E380*'Reference Standards'!$T$457+'Reference Standards'!$T$458),2)    )))))</f>
        <v/>
      </c>
      <c r="G380" s="594"/>
      <c r="H380" s="589"/>
      <c r="I380" s="579"/>
      <c r="J380" s="579"/>
      <c r="K380" s="579"/>
      <c r="L380" s="21"/>
    </row>
    <row r="381" spans="1:12" ht="15.75" x14ac:dyDescent="0.25">
      <c r="A381" s="465"/>
      <c r="B381" s="465"/>
      <c r="C381" s="71" t="s">
        <v>423</v>
      </c>
      <c r="D381" s="71"/>
      <c r="E381" s="208"/>
      <c r="F381" s="330" t="str">
        <f>IF(E381="","",IF(AND('Quantification Tool'!$B$6="E",OR('Quantification Tool'!$B$9="Sand",'Quantification Tool'!$B$9="Gravel")), IF(OR(E381&lt;20,E381&gt;73),0,ROUND(IF(E381&lt;25,E381*'Reference Standards'!$S$526+'Reference Standards'!$S$527,IF(E381&lt;35,1,E381^2*'Reference Standards'!$T$525+E381*'Reference Standards'!$T$526+'Reference Standards'!$T$527)),2)),  IF(AND('Quantification Tool'!$B$6="C",OR('Quantification Tool'!$B$9="Sand",'Quantification Tool'!$B$9="Gravel")), IF(OR(E381&lt;19,E381&gt;63),0,ROUND(IF(E381&lt;43,E381*'Reference Standards'!$S$560+'Reference Standards'!$S$561,IF(E381&lt;52,1,E381*'Reference Standards'!$T$560+'Reference Standards'!$T$561)),2)),IF(AND(OR('Quantification Tool'!$B$6="B",'Quantification Tool'!$B$6="Bc"),'Quantification Tool'!$B$9="Gravel"), IF(OR(E381&lt;18,E381&gt;82),0,ROUND(IF(E381&lt;30,E381^2*'Reference Standards'!$S$594+E381*'Reference Standards'!$S$595+'Reference Standards'!$S$596,IF(E381&lt;41,1,E381*'Reference Standards'!$T$595+'Reference Standards'!$T$596)),2))   ))))</f>
        <v/>
      </c>
      <c r="G381" s="594"/>
      <c r="H381" s="589"/>
      <c r="I381" s="579"/>
      <c r="J381" s="579"/>
      <c r="K381" s="579"/>
      <c r="L381" s="21"/>
    </row>
    <row r="382" spans="1:12" ht="15.75" x14ac:dyDescent="0.25">
      <c r="A382" s="465"/>
      <c r="B382" s="466"/>
      <c r="C382" s="76" t="s">
        <v>254</v>
      </c>
      <c r="D382" s="71"/>
      <c r="E382" s="210"/>
      <c r="F382" s="331" t="str">
        <f>IF(E382="","",IF(E382&gt;=1.6,0,IF(E382&lt;=1,1,ROUND('Reference Standards'!$S$626*E382^3+'Reference Standards'!$S$627*E382^2+'Reference Standards'!$S$628*E382+'Reference Standards'!$S$629,2))))</f>
        <v/>
      </c>
      <c r="G382" s="595"/>
      <c r="H382" s="589"/>
      <c r="I382" s="579"/>
      <c r="J382" s="579"/>
      <c r="K382" s="579"/>
      <c r="L382" s="21"/>
    </row>
    <row r="383" spans="1:12" ht="15.75" x14ac:dyDescent="0.25">
      <c r="A383" s="466"/>
      <c r="B383" s="292" t="s">
        <v>58</v>
      </c>
      <c r="C383" s="305" t="s">
        <v>57</v>
      </c>
      <c r="D383" s="306"/>
      <c r="E383" s="203"/>
      <c r="F383" s="324" t="str">
        <f>IF(E383="","",IF(AND('Quantification Tool'!B$6="E",'Quantification Tool'!$B$9="Sand",'Quantification Tool'!$B$17="Unconfined Alluvial"),ROUND(IF(OR(E383&gt;1.8,E383&lt;1.3),0,IF(E383&lt;=1.6,1,E383*'Reference Standards'!S$660+'Reference Standards'!S$661)),2),    IF('Quantification Tool'!$B$17="Unconfined Alluvial",ROUND(IF(OR(E383&lt;1.2, E383&gt;1.5),0,IF(E383&lt;=1.4,1,E383*'Reference Standards'!$S$693+'Reference Standards'!$S$694)),2), IF('Quantification Tool'!$B$17="Confined Alluvial",ROUND(IF(E383&lt;1.15,0,IF(E383&lt;=1.4,E383*'Reference Standards'!$S$722+'Reference Standards'!$S$723,1)),2),  IF('Quantification Tool'!$B$17="Colluvial",ROUND(IF(E383&gt;1.3,0,IF(E383&gt;1.2,E383*'Reference Standards'!$S$753+'Reference Standards'!$S$754,1)),2) )))))</f>
        <v/>
      </c>
      <c r="G383" s="332" t="str">
        <f>IFERROR(AVERAGE(F383),"")</f>
        <v/>
      </c>
      <c r="H383" s="589"/>
      <c r="I383" s="579"/>
      <c r="J383" s="579"/>
      <c r="K383" s="579"/>
      <c r="L383" s="21"/>
    </row>
    <row r="384" spans="1:12" ht="15.75" x14ac:dyDescent="0.25">
      <c r="A384" s="527" t="s">
        <v>61</v>
      </c>
      <c r="B384" s="83" t="s">
        <v>103</v>
      </c>
      <c r="C384" s="87" t="s">
        <v>427</v>
      </c>
      <c r="D384" s="87"/>
      <c r="E384" s="53"/>
      <c r="F384" s="333" t="str">
        <f>IF(E384="","",ROUND(IF(E384&gt;=942,0,IF(E384&lt;=487,E384*'Reference Standards'!AB$15+'Reference Standards'!AB$16,E384*'Reference Standards'!$AC$15+'Reference Standards'!$AC$16)),2))</f>
        <v/>
      </c>
      <c r="G384" s="334" t="str">
        <f>IFERROR(AVERAGE(F384),"")</f>
        <v/>
      </c>
      <c r="H384" s="596" t="str">
        <f>IFERROR(ROUND(AVERAGE(G384:G387),2),"")</f>
        <v/>
      </c>
      <c r="I384" s="599" t="str">
        <f>IF(H384="","",IF(H384&gt;0.69,"Functioning",IF(H384&gt;0.29,"Functioning At Risk",IF(H384&gt;-1,"Not Functioning"))))</f>
        <v/>
      </c>
      <c r="J384" s="579"/>
      <c r="K384" s="579"/>
      <c r="L384" s="21"/>
    </row>
    <row r="385" spans="1:12" ht="15.75" customHeight="1" x14ac:dyDescent="0.25">
      <c r="A385" s="528"/>
      <c r="B385" s="399" t="s">
        <v>476</v>
      </c>
      <c r="C385" s="81" t="s">
        <v>457</v>
      </c>
      <c r="D385" s="81"/>
      <c r="E385" s="203"/>
      <c r="F385" s="336" t="str">
        <f>IF(E385="","",IF(OR('Quantification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June")),IF(E385&gt;93,0,IF(E385&lt;13,1,ROUND('Reference Standards'!$AB$53*E385^2+'Reference Standards'!$AB$54*E385+'Reference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Tool'!$B$7="73b"),IF(E385&gt;94,0,IF(E385&lt;17,1,ROUND('Reference Standards'!$AC$53*E385^2+'Reference Standards'!$AC$54*E385+'Reference Standards'!$AC$55,2))),    IF(OR(AND(OR('Quantification Tool'!$B$7="68b",'Quantification Tool'!$B$7="71i"),'Quantification Tool'!$B$8&gt;2), 'Quantification Tool'!$B$7="71e"),IF(E385&gt;91,0,IF(E385&lt;24,1,ROUND('Reference Standards'!$AD$53*E385^2+'Reference Standards'!$AD$54*E385+'Reference Standards'!$AD$55,2))),  IF(OR(AND(OR('Quantification Tool'!$B$7="71f",'Quantification Tool'!$B$7="71g",'Quantification Tool'!$B$7="71h",'Quantification Tool'!$B$7="71i"),'Quantification Tool'!$B$8&lt;=2), AND('Quantification Tool'!$B$7="74a",'Quantification Tool'!$B$8&gt;2)),IF(E385&gt;95,0,IF(E385&lt;=36,1,ROUND('Reference Standards'!$AE$53*E385^2+'Reference Standards'!$AE$54*E385+'Reference Standards'!$AE$55,2))))))))</f>
        <v/>
      </c>
      <c r="G385" s="335" t="str">
        <f>IFERROR(AVERAGE(F385:F385),"")</f>
        <v/>
      </c>
      <c r="H385" s="597"/>
      <c r="I385" s="600"/>
      <c r="J385" s="579"/>
      <c r="K385" s="579"/>
    </row>
    <row r="386" spans="1:12" ht="15.75" customHeight="1" x14ac:dyDescent="0.25">
      <c r="A386" s="528"/>
      <c r="B386" s="83" t="s">
        <v>93</v>
      </c>
      <c r="C386" s="84" t="s">
        <v>326</v>
      </c>
      <c r="D386" s="84"/>
      <c r="E386" s="202"/>
      <c r="F386" s="336" t="str">
        <f>IF(E386="","",IF(OR('Quantification Tool'!$B$7="66e",'Quantification Tool'!$B$7="66f",'Quantification Tool'!$B$7="66g"), ROUND(IF(E386&gt;=0.61,0,IF(E386&lt;=0.01,1,IF(E386&lt;=0.06,E386*'Reference Standards'!$AD$197+'Reference Standards'!$AD$198,E386^2*'Reference Standards'!$AB$196+E386*'Reference Standards'!$AB$197+'Reference Standards'!$AB$198))),2),  IF('Quantification Tool'!$B$7="68b", ROUND(IF(E386&gt;=1.1,0,IF(E386&lt;=0.17,1,IF(E386&lt;=0.22,E386*'Reference Standards'!$AE$197+'Reference Standards'!$AE$198,E386^2*'Reference Standards'!$AC$196+E386*'Reference Standards'!$AC$197+'Reference Standards'!$AC$198))),2),IF('Quantification Tool'!$B$8&lt;=2.5,   IF('Quantification Tool'!$B$7="69de",ROUND(IF(E386&gt;=0.22,0,IF(E386&lt;=0.01,1,E386^2*'Reference Standards'!$AB$90+E386*'Reference Standards'!$AB$91+'Reference Standards'!$AB$92)),2),   IF('Quantification Tool'!$B$7="68c",ROUND(IF(E386&gt;=0.87,0,IF(E386&lt;=0.01,1,E386^2*'Reference Standards'!$AC$90+E386*'Reference Standards'!$AC$91+'Reference Standards'!$AC$92)),2),   IF('Quantification Tool'!$B$7="68a",ROUND(IF(E386&gt;=0.81,0,IF(E386&lt;=0.01,1,E386^2*'Reference Standards'!$AD$90+E386*'Reference Standards'!$AD$91+'Reference Standards'!$AD$92)),2),   IF('Quantification Tool'!$B$7="65abei",ROUND(IF(E386&gt;=0.67,0,IF(E386&lt;=0.01,1,IF(E386&lt;=0.18,E386*'Reference Standards'!$AG$91+'Reference Standards'!$AG$92,E386*'Reference Standards'!$AE$91+'Reference Standards'!$AE$92))),2),   IF('Quantification Tool'!$B$7="65j",ROUND(IF(E386&gt;=0.32,0,IF(E386&lt;=0.01,1,IF(E386&lt;=0.25,E386*'Reference Standards'!$AH$91+'Reference Standards'!$AH$92,E386*'Reference Standards'!$AF$91+'Reference Standards'!$AF$92))),2),   IF('Quantification Tool'!$B$7="71f",ROUND(IF(E386&gt;=3,0,IF(E386&lt;=0,1,IF(E386&lt;=0.01,0.7,E386^2*'Reference Standards'!$AB$126+E386*'Reference Standards'!$AB$127+'Reference Standards'!$AB$128))),2),   IF('Quantification Tool'!$B$7="74a",ROUND(IF(E386&gt;=0.14,0,IF(E386&lt;=0.01,1,IF(E386&lt;=0.02,0.7,E386^2*'Reference Standards'!$AC$126+E386*'Reference Standards'!$AC$127+'Reference Standards'!$AC$128))),2),   IF(OR('Quantification Tool'!$B$7="67fhi",'Quantification Tool'!$B$7="67g"),ROUND(IF(E386&gt;=1.9,0,IF(E386&lt;=0.01,1,IF(E386&lt;=0.05,E386*'Reference Standards'!$AF$127+'Reference Standards'!$AF$128,E386^2*'Reference Standards'!$AD$126+E386*'Reference Standards'!$AD$127+'Reference Standards'!$AD$128))),2),   IF('Quantification Tool'!$B$7="73a",ROUND(IF(E386&gt;=1.44,0,IF(E386&lt;=0.01,1,IF(E386&lt;=0.12,E386*'Reference Standards'!$AG$127+'Reference Standards'!$AG$128,E386^2*'Reference Standards'!$AE$126+E386*'Reference Standards'!$AE$127+'Reference Standards'!$AE$128))),2),   IF('Quantification Tool'!$B$7="66d",ROUND(IF(E386&gt;=0.46,0,IF(E386&lt;=0.02,1,IF(E386&lt;=0.08,E386*'Reference Standards'!$AF$163+'Reference Standards'!$AF$164,E386^2*'Reference Standards'!$AB$162+E386*'Reference Standards'!$AB$163+'Reference Standards'!$AB$164))),2),   IF(OR('Quantification Tool'!$B$7="71g",'Quantification Tool'!$B$7="71h",'Quantification Tool'!$B$7="71i"),ROUND(IF(E386&gt;=3,0,IF(E386&lt;=0.06,1,IF(E386&lt;=0.24,E386*'Reference Standards'!$AG$163+'Reference Standards'!$AG$164, E386^2*'Reference Standards'!$AC$162+E386*'Reference Standards'!$AC$163+'Reference Standards'!$AC$164))),2),   IF('Quantification Tool'!$B$7="74b",ROUND(IF(E386&gt;=1.3,0,IF(E386&lt;=0.29,1,IF(E386&lt;=0.48,E386*'Reference Standards'!$AH$163+'Reference Standards'!$AH$164,E386^2*'Reference Standards'!$AD$162+E386*'Reference Standards'!$AD$163+'Reference Standards'!$AD$164))),2),   IF('Quantification Tool'!$B$7="71e",ROUND(IF(E386&gt;=4.3,0,IF(E386&lt;=0.53,1,IF(E386&lt;=0.67,E386*'Reference Standards'!$AI$163+'Reference Standards'!$AI$164,E386^2*'Reference Standards'!$AE$162+E386*'Reference Standards'!$AE$163+'Reference Standards'!$AE$164))),2)       ))))))))))))),IF('Quantification Tool'!$B$8&gt;2.5,    IF('Quantification Tool'!$B$7="73a",ROUND(IF(E386&gt;=0.55,0,IF(E386&lt;=0,1,E386^2*'Reference Standards'!$AB$232+E386*'Reference Standards'!$AB$233+'Reference Standards'!$AB$234)),2),   IF('Quantification Tool'!$B$7="68a",ROUND(IF(E386&gt;=0.54,0,IF(E386&lt;=0,1, IF(E386&lt;=0.01,0.85, E386^2*'Reference Standards'!$AC$232+E386*'Reference Standards'!$AC$233+'Reference Standards'!$AC$234))),2),   IF('Quantification Tool'!$B$7="74a",ROUND(IF(E386&gt;=0.47,0,IF(E386&lt;=0.01,1, IF(E386&lt;=0.02,0.7, E386^2*'Reference Standards'!$AD$232+E386*'Reference Standards'!$AD$233+'Reference Standards'!$AD$234))),2),    IF('Quantification Tool'!$B$7="69de",ROUND(IF(E386&gt;=0.26,0,IF(E386&lt;=0.01,1, IF(E386&lt;=0.02,0.85, E386^2*'Reference Standards'!$AE$232+E386*'Reference Standards'!$AE$233+'Reference Standards'!$AE$234))),2),   IF('Quantification Tool'!$B$7="71f",ROUND(IF(E386&gt;=0.87,0,IF(E386&lt;=0.01,1,IF(E386&lt;=0.04,E386*'Reference Standards'!$AF$269+'Reference Standards'!$AF$270,E386^2*'Reference Standards'!$AB$268+E386*'Reference Standards'!$AB$269+'Reference Standards'!$AB$270))),2),  IF('Quantification Tool'!$B$7="65abei",ROUND(IF(E386&gt;=0.82,0,IF(E386&lt;=0.01,1,IF(E386&lt;=0.06,E386*'Reference Standards'!$AG$269+'Reference Standards'!$AG$270,E386^2*'Reference Standards'!$AC$268+E386*'Reference Standards'!$AC$269+'Reference Standards'!$AC$270))),2),  IF('Quantification Tool'!$B$7="65j",ROUND(IF(E386&gt;=0.33,0,IF(E386&lt;=0.03,1,IF(E386&lt;=0.09,E386*'Reference Standards'!$AH$269+'Reference Standards'!$AH$270,E386^2*'Reference Standards'!$AD$268+E386*'Reference Standards'!$AD$269+'Reference Standards'!$AD$270))),2),  IF('Quantification Tool'!$B$7="68c",ROUND(IF(E386&gt;=0.7,0,IF(E386&lt;=0.07,1,IF(E386&lt;=0.12,E386*'Reference Standards'!$AI$269+'Reference Standards'!$AI$270,E386^2*'Reference Standards'!$AE$268+E386*'Reference Standards'!$AE$269+'Reference Standards'!$AE$270))),2),   IF(OR('Quantification Tool'!$B$7="67fhi",'Quantification Tool'!$B$7="67g"),ROUND(IF(E386&gt;=1.8,0,IF(E386&lt;=0.08,1,IF(E386&lt;=0.2,E386*'Reference Standards'!$AF$306+'Reference Standards'!$AF$307,E386^2*'Reference Standards'!$AB$305+E386*'Reference Standards'!$AB$306+'Reference Standards'!$AB$307))),2),   IF('Quantification Tool'!$B$7="74b",ROUND(IF(E386&gt;=0.96,0,IF(E386&lt;=0.12,1,IF(E386&lt;=0.16,E386*'Reference Standards'!$AG$306+'Reference Standards'!$AG$307,E386^2*'Reference Standards'!$AC$305+E386*'Reference Standards'!$AC$306+'Reference Standards'!$AC$307))),2),   IF('Quantification Tool'!$B$7="66d",ROUND(IF(E386&gt;=0.75,0,IF(E386&lt;=0.13,1,IF(E386&lt;=0.2,E386*'Reference Standards'!$AH$306+'Reference Standards'!$AH$307,E386^2*'Reference Standards'!$AD$305+E386*'Reference Standards'!$AD$306+'Reference Standards'!$AD$307))),2),    IF(OR('Quantification Tool'!$B$7="71g",'Quantification Tool'!$B$7="71h",'Quantification Tool'!$B$7="71i"),ROUND(IF(E386&gt;=1.68,0,IF(E386&lt;=0.08,1,IF(E386&lt;=0.23,E386*'Reference Standards'!$AI$306+'Reference Standards'!$AI$307,E386^2*'Reference Standards'!$AE$305+E386*'Reference Standards'!$AE$306+'Reference Standards'!$AE$307))),2),   IF('Quantification Tool'!$B$7="71e",ROUND(IF(E386&gt;=5.3,0,IF(E386&lt;=0.94,1,IF(E386&lt;=1.4,E386*'Reference Standards'!$AF$310+'Reference Standards'!$AF$311,E386^2*'Reference Standards'!$AB$309+E386*'Reference Standards'!$AB$310+'Reference Standards'!$AB$311))),2))    )))))))))))))))))</f>
        <v/>
      </c>
      <c r="G386" s="337" t="str">
        <f>IFERROR(AVERAGE(F386),"")</f>
        <v/>
      </c>
      <c r="H386" s="597"/>
      <c r="I386" s="600"/>
      <c r="J386" s="579"/>
      <c r="K386" s="579"/>
    </row>
    <row r="387" spans="1:12" ht="15.75" customHeight="1" x14ac:dyDescent="0.25">
      <c r="A387" s="529"/>
      <c r="B387" s="293" t="s">
        <v>94</v>
      </c>
      <c r="C387" s="81" t="s">
        <v>325</v>
      </c>
      <c r="D387" s="81"/>
      <c r="E387" s="167"/>
      <c r="F387" s="333" t="str">
        <f>IF(E387="","",IF('Quantification Tool'!$B$8&gt;2.5,IF(OR('Quantification Tool'!$B$7="71h",'Quantification Tool'!$B$7="71i",'Quantification Tool'!$B$7="73a",'Quantification Tool'!$B$7="74a"),IF(E387&lt;=0.01,1,IF(OR('Quantification Tool'!$B$7="71h",'Quantification Tool'!$B$7="71i"),IF(E387&gt;0.37,0,ROUND(IF(E387&gt;0.03,'Reference Standards'!$AB$425*E387^2+'Reference Standards'!$AB$426*E387+'Reference Standards'!$AB$427,'Reference Standards'!$AF$426*E387+'Reference Standards'!$AF$427),2)),  IF('Quantification Tool'!$B$7="73a",IF(E387&gt;0.405,0,ROUND(IF(E387&gt;0.046,'Reference Standards'!$AC$425*E387^2+'Reference Standards'!$AC$426*E387+'Reference Standards'!$AC$427,'Reference Standards'!$AG$426*E387+'Reference Standards'!$AG$427),2)),IF('Quantification Tool'!$B$7="74a",IF(E387&gt;0.3,0,ROUND(IF(E387&gt;0.052,'Reference Standards'!$AD$425*E387^2+'Reference Standards'!$AD$426*E387+'Reference Standards'!$AD$427,'Reference Standards'!$AH$426*E387+'Reference Standards'!$AH$427),2)))))),   IF(E387&lt;=0.002,1,IF(OR('Quantification Tool'!$B$7="66d",'Quantification Tool'!$B$7="66e",'Quantification Tool'!$B$7="66g"),IF(E387&gt;0.053,0,ROUND(E387^2*'Reference Standards'!$AB$347+E387*'Reference Standards'!$AB$348+'Reference Standards'!$AB$349,2)), IF('Quantification Tool'!$B$7="68b",IF(E387&gt;0.05,0,ROUND(E387^2*'Reference Standards'!$AC$347+E387*'Reference Standards'!$AC$348+'Reference Standards'!$AC$349,2)),  IF(OR('Quantification Tool'!$B$7="68a",'Quantification Tool'!$B$7="68c"),IF(E387&gt;0.07,0,ROUND(E387^2*'Reference Standards'!$AD$347+E387*'Reference Standards'!$AD$348+'Reference Standards'!$AD$349,2)), IF(OR('Quantification Tool'!$B$7="71f",'Quantification Tool'!$B$7="71g"),IF(E387&gt;0.13,0,ROUND(IF(E387&gt;0.042,E387*'Reference Standards'!$AE$348+'Reference Standards'!$AE$349,E387*'Reference Standards'!$AF$348+'Reference Standards'!$AF$349),2)), IF('Quantification Tool'!$B$7="67fhi",IF(E387&gt;0.16,0,ROUND(E387^2*'Reference Standards'!$AG$347+E387*'Reference Standards'!$AG$348+'Reference Standards'!$AG$349,2)),  IF('Quantification Tool'!$B$7="65j",IF(E387&gt;0.035,0,ROUND(IF(E387&lt;=0.003,0.7,E387^2*'Reference Standards'!$AB$387+E387*'Reference Standards'!$AB$388+'Reference Standards'!$AB$389),2)),IF('Quantification Tool'!$B$7="69de",IF(E387&gt;0.037,0,ROUND(IF(E387&lt;=0.003,0.7,E387^2*'Reference Standards'!$AC$387+E387*'Reference Standards'!$AC$388+'Reference Standards'!$AC$389),2)),IF('Quantification Tool'!$B$7="71e",IF(E387&gt;0.23,0,ROUND(IF(E387&lt;=0.003,0.7,E387^2*'Reference Standards'!$AD$387+E387*'Reference Standards'!$AD$388+'Reference Standards'!$AD$389),2)),IF('Quantification Tool'!$B$7="66f",IF(E387&gt;0.06,0,ROUND(IF(E387&lt;=0.003,0.85,IF(E387&lt;=0.004,0.7,E387^2*'Reference Standards'!$AE$387+E387*'Reference Standards'!$AE$388+'Reference Standards'!$AE$389)),2)),IF('Quantification Tool'!$B$7="67g",IF(E387&gt;0.11,0,ROUND(IF(E387&lt;=0.01,E387*'Reference Standards'!$AH$388+'Reference Standards'!$AH$389, E387^2*'Reference Standards'!$AF$387+E387*'Reference Standards'!$AF$388+'Reference Standards'!$AF$389),2)),IF('Quantification Tool'!$B$7="74b",IF(E387&gt;0.49,0,ROUND(IF(E387&lt;=0.01,E387*'Reference Standards'!$AH$388+'Reference Standards'!$AH$389, E387^2*'Reference Standards'!$AG$387+E387*'Reference Standards'!$AG$388+'Reference Standards'!$AG$389),2)),IF('Quantification Tool'!$B$7="65abei",IF(E387&gt;0.199,0,ROUND(IF(E387&lt;=0.01,E387*'Reference Standards'!$AI$426+'Reference Standards'!$AI$427, E387^2*'Reference Standards'!$AE$425+E387*'Reference Standards'!$AE$426+'Reference Standards'!$AE$427),2))    )))))))))))))),      IF('Quantification Tool'!$B$8&lt;=2.5, IF(OR('Quantification Tool'!$B$7="66d",'Quantification Tool'!$B$7="66e",'Quantification Tool'!$B$7="66g"),IF(E387&gt;0.05,0,ROUND(IF(E387&lt;=0.002,1,IF(E387&lt;=0.005,E387*'Reference Standards'!$AF$464+'Reference Standards'!$AF$465, E387^2*'Reference Standards'!$AB$463+E387*'Reference Standards'!$AB$464+'Reference Standards'!$AB$465)),2)), IF('Quantification Tool'!$B$7="67fhi",IF(E387&gt;0.1,0,ROUND(IF(E387&lt;=0.002,1,IF(E387&lt;=0.006,E387*'Reference Standards'!$AG$464+'Reference Standards'!$AG$465, E387^2*'Reference Standards'!$AC$463+E387*'Reference Standards'!$AC$464+'Reference Standards'!$AC$465)),2)), IF('Quantification Tool'!$B$7="65abei",IF(E387&gt;0.13,0,ROUND(IF(E387&lt;=0.003,1,IF(E387&lt;=0.008,E387*'Reference Standards'!$AH$464+'Reference Standards'!$AH$465, E387^2*'Reference Standards'!$AD$463+E387*'Reference Standards'!$AD$464+'Reference Standards'!$AD$465)),2)), IF('Quantification Tool'!$B$7="68b",IF(E387&gt;0.043,0,ROUND(IF(E387&lt;=0.004,1, IF(E387&lt;=0.005,0.7, E387^2*'Reference Standards'!$AE$463+E387*'Reference Standards'!$AE$464+'Reference Standards'!$AE$465)),2)), IF('Quantification Tool'!$B$7="69de",IF(E387&gt;=0.034,0,ROUND(IF(E387&lt;=0.003,1, IF(E387&lt;=0.006,E387*'Reference Standards'!$AG$500+'Reference Standards'!$AG$501, E387*'Reference Standards'!$AB$500+'Reference Standards'!$AB$501)),2)), IF(OR('Quantification Tool'!$B$7="68a",'Quantification Tool'!$B$7="68c"),IF(E387&gt;0.202,0,ROUND(IF(E387&lt;=0.003,1, IF(E387&lt;=0.006,E387*'Reference Standards'!$AG$500+'Reference Standards'!$AG$501, IF(E387&gt;=0.04,E387*'Reference Standards'!$AC$500+'Reference Standards'!$AC$501,E387*'Reference Standards'!$AE$500+'Reference Standards'!$AE$501))),2)), IF(OR('Quantification Tool'!$B$7="71f",'Quantification Tool'!$B$7="71g"),IF(E387&gt;0.631,0,ROUND(IF(E387&lt;=0.003,1, IF(E387&lt;=0.006,E387*'Reference Standards'!$AG$500+'Reference Standards'!$AG$501, IF(E387&gt;=0.17,E387*'Reference Standards'!$AD$500+'Reference Standards'!$AD$501,E387*'Reference Standards'!$AF$500+'Reference Standards'!$AF$501))),2)),   IF('Quantification Tool'!$B$7="71e",IF(E387&gt;1.23,0,ROUND(IF(E387&lt;=0.004,1,IF(E387&lt;=0.006,E387*'Reference Standards'!$AF$538+'Reference Standards'!$AF$539, E387^2*'Reference Standards'!$AB$537+E387*'Reference Standards'!$AB$538+'Reference Standards'!$AB$539)),2)), IF('Quantification Tool'!$B$7="67g",IF(E387&gt;0.11,0,ROUND(IF(E387&lt;=0.006,1,IF(E387&lt;=0.011,E387*'Reference Standards'!$AG$538+'Reference Standards'!$AG$539, E387^2*'Reference Standards'!$AC$537+E387*'Reference Standards'!$AC$538+'Reference Standards'!$AC$539)),2)), IF('Quantification Tool'!$B$7="65j",IF(E387&gt;0.046,0,ROUND(IF(E387&lt;=0.007,1,IF(E387&lt;=0.012,E387*'Reference Standards'!$AH$538+'Reference Standards'!$AH$539, E387^2*'Reference Standards'!$AD$537+E387*'Reference Standards'!$AD$538+'Reference Standards'!$AD$539)),2)), IF('Quantification Tool'!$B$7="66f",IF(E387&gt;0.081,0,ROUND(IF(E387&lt;=0.008,1,IF(E387&lt;=0.011,E387*'Reference Standards'!$AI$538+'Reference Standards'!$AI$539, E387^2*'Reference Standards'!$AE$537+E387*'Reference Standards'!$AE$538+'Reference Standards'!$AE$539)),2)), IF(OR('Quantification Tool'!$B$7="71h",'Quantification Tool'!$B$7="71i"),IF(E387&gt;0.37,0,ROUND(IF(E387&lt;=0.013,1,IF(E387&lt;=0.032,E387*'Reference Standards'!$AH$576+'Reference Standards'!$AH$577, IF(E387&lt;=0.3,E387*'Reference Standards'!$AF$576+'Reference Standards'!$AF$577,E387*'Reference Standards'!$AB$576+'Reference Standards'!$AB$577))),2)), IF('Quantification Tool'!$B$7="73a",IF(E387&gt;0.448,0,ROUND(IF(E387&lt;=0.071,1,IF(E387&lt;=0.086,E387*'Reference Standards'!$AJ$576+'Reference Standards'!$AJ$577, IF(E387&lt;=0.165,E387*'Reference Standards'!$AG$576+'Reference Standards'!$AG$577,E387*'Reference Standards'!$AE$576+'Reference Standards'!$AE$577))),2)),  IF('Quantification Tool'!$B$7="74b",IF(E387&gt;0.43,0,ROUND(IF(E387&lt;=0.018,1,IF(E387&lt;=0.019,0.85, IF(E387&lt;=0.02,0.7, E387^2*'Reference Standards'!$AC$575+E387*'Reference Standards'!$AC$576+'Reference Standards'!$AC$577))),2)), IF('Quantification Tool'!$B$7="74a",IF(E387&gt;0.217,0,ROUND(IF(E387&lt;=0.02,1,IF(E387&lt;=0.033,E387*'Reference Standards'!$AI$576+'Reference Standards'!$AI$577, E387^2*'Reference Standards'!$AD$575+E387*'Reference Standards'!$AD$576+'Reference Standards'!$AD$577)),2))     ))))))))))))))))))</f>
        <v/>
      </c>
      <c r="G387" s="338" t="str">
        <f>IFERROR(AVERAGE(F387),"")</f>
        <v/>
      </c>
      <c r="H387" s="598"/>
      <c r="I387" s="601"/>
      <c r="J387" s="579"/>
      <c r="K387" s="579"/>
    </row>
    <row r="388" spans="1:12" ht="15.75" x14ac:dyDescent="0.25">
      <c r="A388" s="538" t="s">
        <v>62</v>
      </c>
      <c r="B388" s="517" t="s">
        <v>432</v>
      </c>
      <c r="C388" s="154" t="s">
        <v>419</v>
      </c>
      <c r="D388" s="155"/>
      <c r="E388" s="209"/>
      <c r="F388" s="339" t="str">
        <f>IF(E388="","",IF(OR('Quantification Tool'!B$7="73a",'Quantification Tool'!B$7="73b"),IF(E388&lt;1,0,IF(E388&gt;=30,1,ROUND(IF(E388&lt;22,'Reference Standards'!$AL$16*E388+'Reference Standards'!$AL$17,'Reference Standards'!$AM$16*E388+'Reference Standards'!$AM$17),2))), IF(E388&lt;1,0, IF(E388&gt;=42,1, ROUND(IF(E388&lt;32,'Reference Standards'!$AN$16*E388+'Reference Standards'!$AN$17,'Reference Standards'!$AO$16*E388+'Reference Standards'!$AO$17),2)))))</f>
        <v/>
      </c>
      <c r="G388" s="602" t="str">
        <f>IFERROR(AVERAGE(F388:F391),"")</f>
        <v/>
      </c>
      <c r="H388" s="603" t="str">
        <f>IFERROR(ROUND(AVERAGE(G388:G393),2),"")</f>
        <v/>
      </c>
      <c r="I388" s="578" t="str">
        <f>IF(H388="","",IF(H388&gt;0.69,"Functioning",IF(H388&gt;0.29,"Functioning At Risk",IF(H388&gt;-1,"Not Functioning"))))</f>
        <v/>
      </c>
      <c r="J388" s="579"/>
      <c r="K388" s="579"/>
    </row>
    <row r="389" spans="1:12" ht="15.75" x14ac:dyDescent="0.25">
      <c r="A389" s="539"/>
      <c r="B389" s="518"/>
      <c r="C389" s="217" t="s">
        <v>424</v>
      </c>
      <c r="D389" s="218"/>
      <c r="E389" s="208"/>
      <c r="F389" s="340" t="str">
        <f>IF(E389="","",IF(AND('Quantification Tool'!$B$7="74b",'Quantification Tool'!$B$8&lt;=2),IF(E389&lt;0,0,IF(E389&gt;15.6,0.69,ROUND('Reference Standards'!$AL$54*E389^2+'Reference Standards'!$AL$55*E389+'Reference Standards'!$AL$56,2))),IF(AND('Quantification Tool'!$B$7="65abei",'Quantification Tool'!$B$8&lt;=2),IF(E389&lt;0,0,IF(E389&gt;=20,0.69,ROUND('Reference Standards'!$AM$54*E389^2+'Reference Standards'!$AM$55*E389+'Reference Standards'!$AM$56,2))),IF(OR(AND('Quantification Tool'!$B$7="74a",'Quantification Tool'!$B$8&gt;2,'Quantification Tool'!$B$14="January - June"),AND('Quantification Tool'!$B$7="71i",'Quantification Tool'!$B$8&gt;2,'Quantification Tool'!$B$15="SQBANK")),IF(E389&lt;0,0,IF(E389&gt;24.7,0.69,ROUND('Reference Standards'!$AN$54*E389^2+'Reference Standards'!$AN$55*E389+'Reference Standards'!$AN$56,2))),IF(OR('Quantification Tool'!$B$7="74b",'Quantification Tool'!$B$7="65abei"),IF(E389&lt;0,0,IF(E389&gt;32.7,0.69,ROUND('Reference Standards'!$AO$54*E389^2+'Reference Standards'!$AO$55*E389+'Reference Standards'!$AO$56,2))),IF(AND('Quantification Tool'!$B$7="68b",'Quantification Tool'!$B$8&gt;2),IF(E389&lt;0,0,IF(E389&gt;41.2,0.69,ROUND('Reference Standards'!$AP$54*E389^2+'Reference Standards'!$AP$55*E389+'Reference Standards'!$AP$56,2))),IF(OR(AND('Quantification Tool'!$B$7="71i",'Quantification Tool'!$B$8&lt;=2),AND(OR('Quantification Tool'!$B$7="68c",'Quantification Tool'!$B$7="68d"),'Quantification Tool'!$B$14="January - June")),IF(E389&lt;0,0,IF(E389&gt;49.2,0.69,ROUND('Reference Standards'!$AL$94*E389^2+'Reference Standards'!$AL$95*E389+'Reference Standards'!$AL$96,2))),IF(OR(AND('Quantification Tool'!$B$7="68a",'Quantification Tool'!$B$14="January - June"),AND(OR('Quantification Tool'!$B$7="68c",'Quantification Tool'!$B$7="68d"),'Quantification Tool'!$B$14="July - December")),IF(E389&lt;0,0,IF(E389&gt;53.4,0.69,ROUND('Reference Standards'!$AM$94*E389^2+'Reference Standards'!$AM$95*E389+'Reference Standards'!$AM$96,2))),IF(OR(AND('Quantification Tool'!$B$7="71i",'Quantification Tool'!$B$8&gt;2,'Quantification Tool'!$B$15="SQKICK"),AND(OR('Quantification Tool'!$B$7="67fhi",'Quantification Tool'!$B$7="67g"),'Quantification Tool'!$B$8&lt;=2),'Quantification Tool'!$B$7="65j"),IF(E389&lt;0,0,IF(E389&gt;57.8,0.69,ROUND('Reference Standards'!$AN$94*E389^2+'Reference Standards'!$AN$95*E389+'Reference Standards'!$AN$96,2))),IF(OR(AND('Quantification Tool'!$B$7="74a",'Quantification Tool'!$B$8&gt;2,'Quantification Tool'!$B$14="July - December"),AND(OR('Quantification Tool'!$B$7="67fhi",'Quantification Tool'!$B$7="67g"),'Quantification Tool'!$B$8&gt;2),'Quantification Tool'!$B$7="69de"),IF(E389&lt;0,0,IF(E389&gt;62.5,0.69,ROUND('Reference Standards'!$AO$94*E389^2+'Reference Standards'!$AO$95*E389+'Reference Standards'!$AO$96,2))),  IF(OR('Quantification Tool'!$B$7="66d",'Quantification Tool'!$B$7="66e",'Quantification Tool'!$B$7="66ik",'Quantification Tool'!$B$7="71e",'Quantification Tool'!$B$7="71f",'Quantification Tool'!$B$7="71g",'Quantification Tool'!$B$7="71h"),IF(E389&lt;0,0,IF(E389&gt;66.5,0.69,ROUND('Reference Standards'!$AP$94*E389^2+'Reference Standards'!$AP$95*E389+'Reference Standards'!$AP$96,2))),IF(OR('Quantification Tool'!$B$7="66f",'Quantification Tool'!$B$7="66g",'Quantification Tool'!$B$7="66j",AND('Quantification Tool'!$B$7="68a",'Quantification Tool'!$B$14="July - December")), IF(E389&lt;0,0,IF(E389&gt;69,0.69,ROUND('Reference Standards'!$AQ$94*E389^2+'Reference Standards'!$AQ$95*E389+'Reference Standards'!$AQ$96,2))))   )))))))))))</f>
        <v/>
      </c>
      <c r="G389" s="602"/>
      <c r="H389" s="603"/>
      <c r="I389" s="578"/>
      <c r="J389" s="579"/>
      <c r="K389" s="579"/>
    </row>
    <row r="390" spans="1:12" ht="15.75" x14ac:dyDescent="0.25">
      <c r="A390" s="539"/>
      <c r="B390" s="518"/>
      <c r="C390" s="217" t="s">
        <v>428</v>
      </c>
      <c r="D390" s="218"/>
      <c r="E390" s="208"/>
      <c r="F390" s="340" t="str">
        <f>IF(E390="","",IF(AND('Quantification Tool'!$B$7="74b",'Quantification Tool'!$B$8&lt;=2),IF(E390&lt;0,0,IF(E390&gt;8.1,0.69,ROUND('Reference Standards'!$AL$131*E390^2+'Reference Standards'!$AL$132*E390+'Reference Standards'!$AL$133,2))),IF(OR('Quantification Tool'!$B$7="73a",'Quantification Tool'!$B$7="73b"),IF(E390&lt;0,0,IF(E390&gt;=28,0.69,ROUND('Reference Standards'!$AM$131*E390^2+'Reference Standards'!$AM$132*E390+'Reference Standards'!$AM$133,2))),IF(AND('Quantification Tool'!$B$7="74a",'Quantification Tool'!$B$8&gt;2,'Quantification Tool'!$B$14="January - June"),IF(E390&lt;0,0,IF(E390&gt;=32.5,0.69,ROUND('Reference Standards'!$AN$131*E390^2+'Reference Standards'!$AN$132*E390+'Reference Standards'!$AN$133,2))),IF(AND('Quantification Tool'!$B$7="71i",'Quantification Tool'!$B$8&gt;2,'Quantification Tool'!$B$15="SQBANK"),IF(E390&lt;0,0,IF(E390&gt;=37,0.69,ROUND('Reference Standards'!$AO$131*E390^2+'Reference Standards'!$AO$132*E390+'Reference Standards'!$AO$133,2))),IF(OR(AND(OR('Quantification Tool'!$B$7="65abei",'Quantification Tool'!$B$7="74b"),'Quantification Tool'!$B$8&gt;2),AND('Quantification Tool'!$B$7="71i",'Quantification Tool'!$B$8&gt;2,'Quantification Tool'!$B$15="SQKICK")),IF(E390&lt;0,0,IF(E390&gt;42.6,0.69,ROUND('Reference Standards'!$AP$131*E390^2+'Reference Standards'!$AP$132*E390+'Reference Standards'!$AP$133,2))),     IF(OR(AND('Quantification Tool'!$B$7="65abei",'Quantification Tool'!$B$8&lt;=2),AND(OR('Quantification Tool'!$B$7="68c",'Quantification Tool'!$B$7="68d"),'Quantification Tool'!$B$14="July - December"),'Quantification Tool'!$B$7="71e"),IF(E390&lt;0,0,IF(E390&gt;=48,0.69,ROUND('Reference Standards'!$AL$171*E390^2+'Reference Standards'!$AL$172*E390+'Reference Standards'!$AL$173,2))),IF(OR('Quantification Tool'!$B$7="65j",'Quantification Tool'!$B$7="67fhi",'Quantification Tool'!$B$7="67g",AND('Quantification Tool'!$B$7="74a",'Quantification Tool'!$B$14="July - December",'Quantification Tool'!$B$8&gt;2),AND('Quantification Tool'!$B$7="71i",'Quantification Tool'!$B$8&lt;=2)),IF(E390&lt;0,0,IF(E390&gt;=53,0.69,ROUND('Reference Standards'!$AM$171*E390^2+'Reference Standards'!$AM$172*E390+'Reference Standards'!$AM$173,2))),IF(OR(AND(OR('Quantification Tool'!$B$7="68b",'Quantification Tool'!$B$7="71f",'Quantification Tool'!$B$7="71g",'Quantification Tool'!$B$7="71h"),'Quantification Tool'!$B$8&gt;2),'Quantification Tool'!$B$7="68a"),IF(E390&lt;0,0,IF(E390&gt;=57,0.69,ROUND('Reference Standards'!$AN$171*E390^2+'Reference Standards'!$AN$172*E390+'Reference Standards'!$AN$173,2))),IF(OR('Quantification Tool'!$B$7="66f",'Quantification Tool'!$B$7="66g",'Quantification Tool'!$B$7="66j",AND(OR('Quantification Tool'!$B$7="71f",'Quantification Tool'!$B$7="71g",'Quantification Tool'!$B$7="71h"),'Quantification Tool'!$B$8&lt;=2)),IF(E390&lt;0,0,IF(E390&gt;=60,0.69,ROUND('Reference Standards'!$AO$171*E390^2+'Reference Standards'!$AO$172*E390+'Reference Standards'!$AO$173,2))),  IF(OR('Quantification Tool'!$B$7="66d",'Quantification Tool'!$B$7="66e",'Quantification Tool'!$B$7="66ik", AND(OR('Quantification Tool'!$B$7="68c",'Quantification Tool'!$B$7="68d"),'Quantification Tool'!$B$14="January - June"),AND('Quantification Tool'!$B$7="69de",'Quantification Tool'!$B$14="July - December")),IF(E390&lt;0,0,IF(E390&gt;=67.5,0.69,ROUND('Reference Standards'!$AP$171*E390^2+'Reference Standards'!$AP$172*E390+'Reference Standards'!$AP$173,2))),IF(AND('Quantification Tool'!$B$7="69de",'Quantification Tool'!$B$14="January - June"), IF(E390&lt;0,0,IF(E390&gt;=72,0.69,ROUND('Reference Standards'!$AQ$171*E390^2+'Reference Standards'!$AQ$172*E390+'Reference Standards'!$AQ$173,2))))   )))))))))))</f>
        <v/>
      </c>
      <c r="G390" s="602"/>
      <c r="H390" s="603"/>
      <c r="I390" s="578"/>
      <c r="J390" s="579"/>
      <c r="K390" s="579"/>
    </row>
    <row r="391" spans="1:12" ht="15.75" x14ac:dyDescent="0.25">
      <c r="A391" s="539"/>
      <c r="B391" s="519"/>
      <c r="C391" s="156" t="s">
        <v>425</v>
      </c>
      <c r="D391" s="88"/>
      <c r="E391" s="210"/>
      <c r="F391" s="340" t="str">
        <f>IF(E391="","",IF(OR('Quantification Tool'!$B$7="67fhi",'Quantification Tool'!$B$7="67g",'Quantification Tool'!$B$7="71e",'Quantification Tool'!$B$7="73a",'Quantification Tool'!$B$7="73b",AND(OR('Quantification Tool'!$B$7="71f",'Quantification Tool'!$B$7="71g",'Quantification Tool'!$B$7="71h"),'Quantification Tool'!$B$8&gt;2)),IF(E391&gt;100,0,IF(E391&lt;15,0.69,ROUND('Reference Standards'!$AL$208*E391^2+'Reference Standards'!$AL$209*E391+'Reference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),IF(E391&gt;100,0,IF(E391&lt;19,0.69,ROUND('Reference Standards'!$AM$208*E391^2+'Reference Standards'!$AM$209*E391+'Reference Standards'!$AM$210,2))),    IF(OR(AND('Quantification Tool'!$B$7="69de",'Quantification Tool'!$B$14="January - June"),AND('Quantification Tool'!$B$7="71i",'Quantification Tool'!$B$8&gt;2,'Quantification Tool'!$B$15="SQKICK" )),IF(E391&gt;100,0,IF(E391&lt;22,0.69,ROUND('Reference Standards'!$AN$208*E391^2+'Reference Standards'!$AN$209*E391+'Reference Standards'!$AN$210,2))),    IF(OR('Quantification Tool'!$B$7="65j",AND('Quantification Tool'!$B$7="68b",'Quantification Tool'!$B$8&gt;2)),IF(E391&gt;100,0,IF(E391&lt;24,0.69,ROUND('Reference Standards'!$AO$208*E391^2+'Reference Standards'!$AO$209*E391+'Reference Standards'!$AO$210,2))),    IF(AND(OR('Quantification Tool'!$B$7="65abei",'Quantification Tool'!$B$7="71f",'Quantification Tool'!$B$7="71g",'Quantification Tool'!$B$7="71h"),'Quantification Tool'!$B$8&lt;=2),IF(E391&gt;95,0,IF(E391&lt;33,0.69,ROUND('Reference Standards'!$AL$246*E391^2+'Reference Standards'!$AL$247*E391+'Reference Standards'!$AL$248,2))),   IF(AND(OR('Quantification Tool'!$B$7="65abei",'Quantification Tool'!$B$7="74b"),'Quantification Tool'!$B$8&gt;2),IF(E391&gt;97,0,IF(E391&lt;36,0.69,ROUND('Reference Standards'!$AM$246*E391^2+'Reference Standards'!$AM$247*E391+'Reference Standards'!$AM$248,2))),  IF(AND('Quantification Tool'!$B$7="74a",'Quantification Tool'!$B$14="January - June",'Quantification Tool'!$B$8&gt;2),IF(E391&gt;93,0,IF(E391&lt;52,0.69,ROUND('Reference Standards'!$AN$246*E391^2+'Reference Standards'!$AN$247*E391+'Reference Standards'!$AN$248,2))),   IF(AND('Quantification Tool'!$B$7="74b",'Quantification Tool'!$B$8&lt;=2),IF(E391&gt;97,0,IF(E391&lt;62,0.69,ROUND('Reference Standards'!$AO$246*E391^2+'Reference Standards'!$AO$247*E391+'Reference Standards'!$AO$248,2)))  )))))))))</f>
        <v/>
      </c>
      <c r="G391" s="602"/>
      <c r="H391" s="603"/>
      <c r="I391" s="578"/>
      <c r="J391" s="579"/>
      <c r="K391" s="579"/>
    </row>
    <row r="392" spans="1:12" ht="15.75" x14ac:dyDescent="0.25">
      <c r="A392" s="539"/>
      <c r="B392" s="530" t="s">
        <v>86</v>
      </c>
      <c r="C392" s="154" t="s">
        <v>255</v>
      </c>
      <c r="D392" s="155"/>
      <c r="E392" s="209"/>
      <c r="F392" s="339" t="str">
        <f>IF(E392="","",IF(E392=1,0.15,IF(E392=3,0.5,IF(E392=5,0.85,0))))</f>
        <v/>
      </c>
      <c r="G392" s="604" t="str">
        <f>IFERROR(AVERAGE(F392:F393),"")</f>
        <v/>
      </c>
      <c r="H392" s="603"/>
      <c r="I392" s="578"/>
      <c r="J392" s="579"/>
      <c r="K392" s="579"/>
    </row>
    <row r="393" spans="1:12" ht="15.75" x14ac:dyDescent="0.25">
      <c r="A393" s="540"/>
      <c r="B393" s="530"/>
      <c r="C393" s="156" t="s">
        <v>420</v>
      </c>
      <c r="D393" s="88"/>
      <c r="E393" s="210"/>
      <c r="F393" s="341" t="str">
        <f>IF(E393="","",IF(E393=1,0.15,IF(E393=3,0.5,IF(E393=5,0.85,0))))</f>
        <v/>
      </c>
      <c r="G393" s="605"/>
      <c r="H393" s="603"/>
      <c r="I393" s="578"/>
      <c r="J393" s="579"/>
      <c r="K393" s="579"/>
    </row>
    <row r="394" spans="1:12" x14ac:dyDescent="0.25">
      <c r="L394" s="21"/>
    </row>
    <row r="395" spans="1:12" x14ac:dyDescent="0.25">
      <c r="L395" s="21"/>
    </row>
    <row r="396" spans="1:12" ht="21" x14ac:dyDescent="0.35">
      <c r="A396" s="188" t="s">
        <v>173</v>
      </c>
      <c r="B396" s="312"/>
      <c r="C396" s="315" t="s">
        <v>395</v>
      </c>
      <c r="D396" s="312"/>
      <c r="E396" s="313"/>
      <c r="F396" s="314"/>
      <c r="G396" s="450" t="s">
        <v>18</v>
      </c>
      <c r="H396" s="451"/>
      <c r="I396" s="451"/>
      <c r="J396" s="451"/>
      <c r="K396" s="452"/>
    </row>
    <row r="397" spans="1:12" ht="16.5" customHeight="1" x14ac:dyDescent="0.25">
      <c r="A397" s="181" t="s">
        <v>1</v>
      </c>
      <c r="B397" s="181" t="s">
        <v>2</v>
      </c>
      <c r="C397" s="498" t="s">
        <v>3</v>
      </c>
      <c r="D397" s="573"/>
      <c r="E397" s="181" t="s">
        <v>15</v>
      </c>
      <c r="F397" s="181" t="s">
        <v>16</v>
      </c>
      <c r="G397" s="181" t="s">
        <v>19</v>
      </c>
      <c r="H397" s="181" t="s">
        <v>20</v>
      </c>
      <c r="I397" s="181" t="s">
        <v>20</v>
      </c>
      <c r="J397" s="181" t="s">
        <v>21</v>
      </c>
      <c r="K397" s="60" t="s">
        <v>21</v>
      </c>
    </row>
    <row r="398" spans="1:12" ht="15.75" customHeight="1" x14ac:dyDescent="0.25">
      <c r="A398" s="453" t="s">
        <v>68</v>
      </c>
      <c r="B398" s="294" t="s">
        <v>99</v>
      </c>
      <c r="C398" s="62" t="s">
        <v>421</v>
      </c>
      <c r="D398" s="62"/>
      <c r="E398" s="202"/>
      <c r="F398" s="316" t="str">
        <f>IF(E398="","",IF(E398&gt;78,0,IF(E398&lt;30,1,ROUND('Reference Standards'!C$14*E398^2+'Reference Standards'!C$15*E398+'Reference Standards'!C$16,2))))</f>
        <v/>
      </c>
      <c r="G398" s="317" t="str">
        <f>IFERROR(AVERAGE(F398),"")</f>
        <v/>
      </c>
      <c r="H398" s="576" t="str">
        <f>IFERROR(ROUND(AVERAGE(G398:G402),2),"")</f>
        <v/>
      </c>
      <c r="I398" s="578" t="str">
        <f>IF(H398="","",IF(H398&gt;0.69,"Functioning",IF(H398&gt;0.29,"Functioning At Risk",IF(H398&gt;-1,"Not Functioning"))))</f>
        <v/>
      </c>
      <c r="J398" s="579" t="str">
        <f>IF(AND(H398="",H403="",H405="",H424="",H428=""),"",ROUND((IF(H398="",0,H398)*0.2)+(IF(H403="",0,H403)*0.2)+(IF(H405="",0,H405)*0.2)+(IF(H424="",0,H424)*0.2)+(IF(H428="",0,H428)*0.2),2))</f>
        <v/>
      </c>
      <c r="K398" s="579" t="str">
        <f>IF(J398="","",IF(J398&lt;0.3, "Not Functioning",IF(OR(H398&lt;0.7,H403&lt;0.7,H405&lt;0.7,H424&lt;0.7,H428&lt;0.7),"Functioning At Risk",IF(J398&lt;0.7,"Functioning At Risk","Functioning"))))</f>
        <v/>
      </c>
    </row>
    <row r="399" spans="1:12" ht="15.75" customHeight="1" x14ac:dyDescent="0.25">
      <c r="A399" s="454"/>
      <c r="B399" s="541" t="s">
        <v>154</v>
      </c>
      <c r="C399" s="170" t="s">
        <v>202</v>
      </c>
      <c r="D399" s="169"/>
      <c r="E399" s="167"/>
      <c r="F399" s="316" t="str">
        <f>IF(E399="","",IF(E399&gt;=1,1,IF(E399&lt;=0,0,ROUND(E399,2))))</f>
        <v/>
      </c>
      <c r="G399" s="580" t="str">
        <f>IFERROR(AVERAGE(F399:F402),"")</f>
        <v/>
      </c>
      <c r="H399" s="577"/>
      <c r="I399" s="578"/>
      <c r="J399" s="579"/>
      <c r="K399" s="579"/>
    </row>
    <row r="400" spans="1:12" ht="15.75" customHeight="1" x14ac:dyDescent="0.25">
      <c r="A400" s="454"/>
      <c r="B400" s="542"/>
      <c r="C400" s="171" t="s">
        <v>155</v>
      </c>
      <c r="D400" s="62"/>
      <c r="E400" s="202"/>
      <c r="F400" s="318" t="str">
        <f>IF(E400="","",IF(E400&gt;3,0,IF(E400=0,1,ROUND('Reference Standards'!C$49*E400+'Reference Standards'!C$50,2))))</f>
        <v/>
      </c>
      <c r="G400" s="581"/>
      <c r="H400" s="577"/>
      <c r="I400" s="578"/>
      <c r="J400" s="579"/>
      <c r="K400" s="579"/>
    </row>
    <row r="401" spans="1:12" ht="15.75" customHeight="1" x14ac:dyDescent="0.25">
      <c r="A401" s="454"/>
      <c r="B401" s="542"/>
      <c r="C401" s="171" t="s">
        <v>429</v>
      </c>
      <c r="D401" s="62"/>
      <c r="E401" s="202"/>
      <c r="F401" s="318" t="str">
        <f>IF(E401="","",IF(E401&gt;=30,1,ROUND(E401^2*'Reference Standards'!$C$82+E401*'Reference Standards'!$C$83+'Reference Standards'!$C$84,2)))</f>
        <v/>
      </c>
      <c r="G401" s="581"/>
      <c r="H401" s="577"/>
      <c r="I401" s="578"/>
      <c r="J401" s="579"/>
      <c r="K401" s="579"/>
    </row>
    <row r="402" spans="1:12" ht="15.75" customHeight="1" x14ac:dyDescent="0.25">
      <c r="A402" s="454"/>
      <c r="B402" s="543"/>
      <c r="C402" s="172" t="s">
        <v>391</v>
      </c>
      <c r="D402" s="64"/>
      <c r="E402" s="203"/>
      <c r="F402" s="319" t="str">
        <f>IF(E402="","",IF('Quantification Tool'!B$16="Sandy",IF(E402&gt;1.94,0,IF(E402&lt;1.45,1,ROUND(E402*'Reference Standards'!$C$118+'Reference Standards'!$C$119,2))),IF('Quantification Tool'!B$16="Silty",IF(E402&gt;1.83,0,IF(E402&lt;1.21,1,ROUND(E402*'Reference Standards'!$D$118+'Reference Standards'!$D$119,2))),IF('Quantification Tool'!B$16="Clayey",IF(E402&gt;1.74,0,IF(E402&lt;0.82,1,ROUND(E402*'Reference Standards'!$E$118+'Reference Standards'!$E$119,2)))))))</f>
        <v/>
      </c>
      <c r="G402" s="582"/>
      <c r="H402" s="577"/>
      <c r="I402" s="578"/>
      <c r="J402" s="579"/>
      <c r="K402" s="579"/>
    </row>
    <row r="403" spans="1:12" ht="15" customHeight="1" x14ac:dyDescent="0.25">
      <c r="A403" s="547" t="s">
        <v>6</v>
      </c>
      <c r="B403" s="547" t="s">
        <v>7</v>
      </c>
      <c r="C403" s="66" t="s">
        <v>8</v>
      </c>
      <c r="D403" s="66"/>
      <c r="E403" s="202"/>
      <c r="F403" s="320" t="str">
        <f>IF(E403="","",ROUND(IF(E403&gt;1.6,0,IF(E403&lt;=1,1,E403^2*'Reference Standards'!K$14+E403*'Reference Standards'!K$15+'Reference Standards'!K$16)),2))</f>
        <v/>
      </c>
      <c r="G403" s="583" t="str">
        <f>IFERROR(AVERAGE(F403:F404),"")</f>
        <v/>
      </c>
      <c r="H403" s="583" t="str">
        <f>IFERROR(ROUND(AVERAGE(G403),2),"")</f>
        <v/>
      </c>
      <c r="I403" s="586" t="str">
        <f>IF(H403="","",IF(H403&gt;0.69,"Functioning",IF(H403&gt;0.29,"Functioning At Risk",IF(H403&gt;-1,"Not Functioning"))))</f>
        <v/>
      </c>
      <c r="J403" s="579"/>
      <c r="K403" s="579"/>
    </row>
    <row r="404" spans="1:12" ht="15" customHeight="1" x14ac:dyDescent="0.25">
      <c r="A404" s="549"/>
      <c r="B404" s="548"/>
      <c r="C404" s="66" t="s">
        <v>9</v>
      </c>
      <c r="D404" s="66"/>
      <c r="E404" s="203"/>
      <c r="F404" s="67" t="str">
        <f>IF(E404="","",(IF(OR('Quantification Tool'!B$6="A",'Quantification Tool'!B$6="B",'Quantification Tool'!$B$6="Bc"),IF(E404&lt;1.2,0,IF(E404&gt;=2.2,1,ROUND(IF(E404&lt;1.4,E404*'Reference Standards'!$K$84+'Reference Standards'!$K$85,E404*'Reference Standards'!$L$84+'Reference Standards'!$L$85),2))),IF(OR('Quantification Tool'!B$6="C",'Quantification Tool'!B$6="E"),IF(E404&lt;2,0,IF(E404&gt;=5,1,ROUND(IF(E404&lt;2.4,E404*'Reference Standards'!$L$49+'Reference Standards'!$L$50,E404*'Reference Standards'!$K$49+'Reference Standards'!$K$50),2)))))))</f>
        <v/>
      </c>
      <c r="G404" s="584"/>
      <c r="H404" s="585"/>
      <c r="I404" s="587"/>
      <c r="J404" s="579"/>
      <c r="K404" s="579"/>
    </row>
    <row r="405" spans="1:12" ht="15" customHeight="1" x14ac:dyDescent="0.25">
      <c r="A405" s="464" t="s">
        <v>27</v>
      </c>
      <c r="B405" s="553" t="s">
        <v>28</v>
      </c>
      <c r="C405" s="74" t="s">
        <v>422</v>
      </c>
      <c r="D405" s="308"/>
      <c r="E405" s="75"/>
      <c r="F405" s="321" t="str">
        <f>IF(E405="","",IF(E405&gt;700,1,IF(E405&lt;300,ROUND('Reference Standards'!$S$14*(E405^2)+'Reference Standards'!$S$15*E405+'Reference Standards'!$S$16,2),ROUND('Reference Standards'!$T$15*E405+'Reference Standards'!$T$16,2))))</f>
        <v/>
      </c>
      <c r="G405" s="593" t="str">
        <f>IFERROR(AVERAGE(F405:F406),"")</f>
        <v/>
      </c>
      <c r="H405" s="588" t="str">
        <f>IFERROR(ROUND(AVERAGE(G405:G423),2),"")</f>
        <v/>
      </c>
      <c r="I405" s="579" t="str">
        <f>IF(H405="","",IF(H405&gt;0.69,"Functioning",IF(H405&gt;0.29,"Functioning At Risk",IF(H405&gt;-1,"Not Functioning"))))</f>
        <v/>
      </c>
      <c r="J405" s="579"/>
      <c r="K405" s="579"/>
    </row>
    <row r="406" spans="1:12" ht="15" customHeight="1" x14ac:dyDescent="0.25">
      <c r="A406" s="465"/>
      <c r="B406" s="554"/>
      <c r="C406" s="77" t="s">
        <v>394</v>
      </c>
      <c r="D406" s="309"/>
      <c r="E406" s="65"/>
      <c r="F406" s="322" t="str">
        <f>IF(E406="","",IF(E406&gt;=30,1,IF(E406&lt;16,ROUND('Reference Standards'!$S$47*(E406^2)+'Reference Standards'!$S$48*E406+'Reference Standards'!$S$49,2),ROUND('Reference Standards'!$T$48*E406+'Reference Standards'!$T$49,2))))</f>
        <v/>
      </c>
      <c r="G406" s="595"/>
      <c r="H406" s="588"/>
      <c r="I406" s="579"/>
      <c r="J406" s="579"/>
      <c r="K406" s="579"/>
    </row>
    <row r="407" spans="1:12" ht="15.75" x14ac:dyDescent="0.25">
      <c r="A407" s="465"/>
      <c r="B407" s="465" t="s">
        <v>51</v>
      </c>
      <c r="C407" s="71" t="s">
        <v>92</v>
      </c>
      <c r="D407" s="71"/>
      <c r="E407" s="167"/>
      <c r="F407" s="323" t="str">
        <f>IF(E407="","",ROUND(IF(E407&gt;0.7,0,IF(E407&lt;=0.1,1,E407^3*'Reference Standards'!S$81+E407^2*'Reference Standards'!S$82+E407*'Reference Standards'!S$83+'Reference Standards'!S$84)),2))</f>
        <v/>
      </c>
      <c r="G407" s="590" t="str">
        <f>IFERROR(IF(E407="",AVERAGE(F408:F409),IF(E408="",F407,MAX(F407,AVERAGE(F408:F409)))),"")</f>
        <v/>
      </c>
      <c r="H407" s="589"/>
      <c r="I407" s="579"/>
      <c r="J407" s="579"/>
      <c r="K407" s="579"/>
    </row>
    <row r="408" spans="1:12" ht="15.75" x14ac:dyDescent="0.25">
      <c r="A408" s="465"/>
      <c r="B408" s="465"/>
      <c r="C408" s="71" t="s">
        <v>52</v>
      </c>
      <c r="D408" s="71"/>
      <c r="E408" s="202"/>
      <c r="F408" s="323" t="str">
        <f>IF(E408="","",IF(OR(E408="Ex/Ex",E408="Ex/VH"),0, IF(OR(E408="Ex/H",E408="VH/Ex",E408="VH/VH", E408="H/Ex",E408="H/VH",E408="M/Ex"),0.1,IF(OR(E408="Ex/M",E408="VH/H",E408="H/H", E408="M/VH"),0.2, IF(OR(E408="Ex/L",E408="VH/M",E408="H/M", E408="M/H",E408="L/Ex"),0.3, IF(OR(E408="Ex/VL",E408="VH/L",E408="H/L"),0.4, IF(OR(E408="VH/VL",E408="H/VL",E408="M/M", E408="L/VH"),0.5, IF(OR(E408="M/L",E408="L/H"),0.6, IF(OR(E408="M/VL",E408="L/M"),0.7, IF(OR(E408="L/L",E408="L/VL"),1))))))))))</f>
        <v/>
      </c>
      <c r="G408" s="590"/>
      <c r="H408" s="589"/>
      <c r="I408" s="579"/>
      <c r="J408" s="579"/>
      <c r="K408" s="579"/>
    </row>
    <row r="409" spans="1:12" ht="15.75" x14ac:dyDescent="0.25">
      <c r="A409" s="465"/>
      <c r="B409" s="466"/>
      <c r="C409" s="73" t="s">
        <v>102</v>
      </c>
      <c r="D409" s="73"/>
      <c r="E409" s="203"/>
      <c r="F409" s="324" t="str">
        <f>IF(E409="","",ROUND(IF(E409&gt;40,0,IF(E409&lt;5,1,E409^3*'Reference Standards'!S$116+E409^2*'Reference Standards'!S$117+E409*'Reference Standards'!S$118+'Reference Standards'!S$119)),2))</f>
        <v/>
      </c>
      <c r="G409" s="590"/>
      <c r="H409" s="589"/>
      <c r="I409" s="579"/>
      <c r="J409" s="579"/>
      <c r="K409" s="579"/>
    </row>
    <row r="410" spans="1:12" ht="15.75" x14ac:dyDescent="0.25">
      <c r="A410" s="465"/>
      <c r="B410" s="465" t="s">
        <v>53</v>
      </c>
      <c r="C410" s="74" t="s">
        <v>120</v>
      </c>
      <c r="D410" s="78"/>
      <c r="E410" s="167"/>
      <c r="F410" s="325" t="str">
        <f>IF(E410="","",ROUND(IF(E410&gt;90,1,E410^2*'Reference Standards'!S$151+E410*'Reference Standards'!S$152+'Reference Standards'!S$153),2))</f>
        <v/>
      </c>
      <c r="G410" s="591" t="str">
        <f>IFERROR(ROUND(AVERAGE(F410:F417),2),"")</f>
        <v/>
      </c>
      <c r="H410" s="589"/>
      <c r="I410" s="579"/>
      <c r="J410" s="579"/>
      <c r="K410" s="579"/>
    </row>
    <row r="411" spans="1:12" ht="15.75" x14ac:dyDescent="0.25">
      <c r="A411" s="465"/>
      <c r="B411" s="465"/>
      <c r="C411" s="76" t="s">
        <v>121</v>
      </c>
      <c r="D411" s="71"/>
      <c r="E411" s="202"/>
      <c r="F411" s="323" t="str">
        <f>IF(E411="","",ROUND(IF(E411&gt;90,1,E411^2*'Reference Standards'!S$151+E411*'Reference Standards'!S$152+'Reference Standards'!S$153),2))</f>
        <v/>
      </c>
      <c r="G411" s="590"/>
      <c r="H411" s="589"/>
      <c r="I411" s="579"/>
      <c r="J411" s="579"/>
      <c r="K411" s="579"/>
    </row>
    <row r="412" spans="1:12" ht="15.75" x14ac:dyDescent="0.25">
      <c r="A412" s="465"/>
      <c r="B412" s="465"/>
      <c r="C412" s="76" t="s">
        <v>430</v>
      </c>
      <c r="D412" s="71"/>
      <c r="E412" s="202"/>
      <c r="F412" s="323" t="str">
        <f>IF(E412="","",ROUND(IF(OR('Quantification Tool'!B$6="A",'Quantification Tool'!B$6="B",'Quantification Tool'!B$6="Bc"),IF(E412&gt;=50,1, IF(E412&lt;30, E412*'Reference Standards'!#REF!+'Reference Standards'!#REF!, E412*'Reference Standards'!#REF!+'Reference Standards'!#REF!)), IF(E412&gt;=150,1,IF(E412&lt;48, E412^2*'Reference Standards'!S$220+E412*'Reference Standards'!S$221+'Reference Standards'!S$222, E412*'Reference Standards'!T$220+'Reference Standards'!T$221))),2))</f>
        <v/>
      </c>
      <c r="G412" s="590"/>
      <c r="H412" s="589"/>
      <c r="I412" s="579"/>
      <c r="J412" s="579"/>
      <c r="K412" s="579"/>
    </row>
    <row r="413" spans="1:12" ht="15.75" x14ac:dyDescent="0.25">
      <c r="A413" s="465"/>
      <c r="B413" s="465"/>
      <c r="C413" s="76" t="s">
        <v>431</v>
      </c>
      <c r="D413" s="71"/>
      <c r="E413" s="202"/>
      <c r="F413" s="323" t="str">
        <f>IF(E413="","",ROUND(IF(OR('Quantification Tool'!B$6="A",'Quantification Tool'!B$6="B",'Quantification Tool'!B$6="Bc"),IF(E413&gt;=50,1, IF(E413&lt;30, E413*'Reference Standards'!#REF!+'Reference Standards'!#REF!, E413*'Reference Standards'!#REF!+'Reference Standards'!#REF!)), IF(E413&gt;=150,1,IF(E413&lt;45, E413^2*'Reference Standards'!S$220+E413*'Reference Standards'!S$221+'Reference Standards'!S$222, E413*'Reference Standards'!T$220+'Reference Standards'!T$221))),2))</f>
        <v/>
      </c>
      <c r="G413" s="590"/>
      <c r="H413" s="589"/>
      <c r="I413" s="579"/>
      <c r="J413" s="579"/>
      <c r="K413" s="579"/>
    </row>
    <row r="414" spans="1:12" ht="15.75" x14ac:dyDescent="0.25">
      <c r="A414" s="465"/>
      <c r="B414" s="465"/>
      <c r="C414" s="71" t="s">
        <v>128</v>
      </c>
      <c r="D414" s="71"/>
      <c r="E414" s="202"/>
      <c r="F414" s="323" t="str">
        <f>IF(E414="","",ROUND(IF(E414&gt;100,1,E414^2*'Reference Standards'!S$185+E414*'Reference Standards'!S$186+'Reference Standards'!S$187),2))</f>
        <v/>
      </c>
      <c r="G414" s="590"/>
      <c r="H414" s="589"/>
      <c r="I414" s="579"/>
      <c r="J414" s="579"/>
      <c r="K414" s="579"/>
      <c r="L414" s="21"/>
    </row>
    <row r="415" spans="1:12" ht="15.75" x14ac:dyDescent="0.25">
      <c r="A415" s="465"/>
      <c r="B415" s="465"/>
      <c r="C415" s="71" t="s">
        <v>129</v>
      </c>
      <c r="D415" s="71"/>
      <c r="E415" s="202"/>
      <c r="F415" s="323" t="str">
        <f>IF(E415="","",ROUND(IF(E415&gt;100,1,E415^2*'Reference Standards'!S$185+E415*'Reference Standards'!S$186+'Reference Standards'!S$187),2))</f>
        <v/>
      </c>
      <c r="G415" s="590"/>
      <c r="H415" s="589"/>
      <c r="I415" s="579"/>
      <c r="J415" s="579"/>
      <c r="K415" s="579"/>
      <c r="L415" s="21"/>
    </row>
    <row r="416" spans="1:12" ht="15.75" x14ac:dyDescent="0.25">
      <c r="A416" s="465"/>
      <c r="B416" s="465"/>
      <c r="C416" s="76" t="s">
        <v>165</v>
      </c>
      <c r="D416" s="71"/>
      <c r="E416" s="202"/>
      <c r="F416" s="323" t="str">
        <f>IF(E416="","",ROUND(IF(E416&gt;=300,0.5,E416*'Reference Standards'!S$253),2))</f>
        <v/>
      </c>
      <c r="G416" s="590"/>
      <c r="H416" s="589"/>
      <c r="I416" s="579"/>
      <c r="J416" s="579"/>
      <c r="K416" s="579"/>
      <c r="L416" s="21"/>
    </row>
    <row r="417" spans="1:12" ht="15.75" x14ac:dyDescent="0.25">
      <c r="A417" s="465"/>
      <c r="B417" s="466"/>
      <c r="C417" s="77" t="s">
        <v>166</v>
      </c>
      <c r="D417" s="79"/>
      <c r="E417" s="202"/>
      <c r="F417" s="323" t="str">
        <f>IF(E417="","",ROUND(IF(E417&gt;=300,0.5,E417*'Reference Standards'!S$253),2))</f>
        <v/>
      </c>
      <c r="G417" s="592"/>
      <c r="H417" s="589"/>
      <c r="I417" s="579"/>
      <c r="J417" s="579"/>
      <c r="K417" s="579"/>
      <c r="L417" s="21"/>
    </row>
    <row r="418" spans="1:12" ht="15.75" x14ac:dyDescent="0.25">
      <c r="A418" s="465"/>
      <c r="B418" s="69" t="s">
        <v>130</v>
      </c>
      <c r="C418" s="89" t="s">
        <v>168</v>
      </c>
      <c r="D418" s="71"/>
      <c r="E418" s="53"/>
      <c r="F418" s="326" t="str">
        <f>IF(E418="","",IF('Quantification Tool'!B$9="Gravel",IF(E418&gt;0.1,1,IF(E418&lt;=0.01,0,ROUND(E418*'Reference Standards'!$S$289+'Reference Standards'!$S$290,2)))))</f>
        <v/>
      </c>
      <c r="G418" s="327" t="str">
        <f>IFERROR(AVERAGE(F418),"")</f>
        <v/>
      </c>
      <c r="H418" s="589"/>
      <c r="I418" s="579"/>
      <c r="J418" s="579"/>
      <c r="K418" s="579"/>
      <c r="L418" s="21"/>
    </row>
    <row r="419" spans="1:12" ht="15.75" x14ac:dyDescent="0.25">
      <c r="A419" s="465"/>
      <c r="B419" s="464" t="s">
        <v>54</v>
      </c>
      <c r="C419" s="78" t="s">
        <v>55</v>
      </c>
      <c r="D419" s="78"/>
      <c r="E419" s="209"/>
      <c r="F419" s="328" t="str">
        <f>IF(E419="","",   IF(AND('Quantification Tool'!$B$6="E",'Quantification Tool'!$B$9="Gravel"),ROUND(IF(OR(E419&lt;=2.3,E419&gt;=10.1),0,IF(E419&lt;4,E419*'Reference Standards'!$S$325+'Reference Standards'!$S$326,IF(E419&lt;=7.5,1,E419*'Reference Standards'!$T$325+'Reference Standards'!$T$326))),2),    IF(AND('Quantification Tool'!$B$6="E",'Quantification Tool'!$B$9="Sand"),ROUND(IF(OR(E419&lt;3,E419&gt;6.7),0,IF(E419&lt;=5,1,E419*'Reference Standards'!$S$357+'Reference Standards'!$S$358)),2),    IF(AND('Quantification Tool'!$B$6="C",OR('Quantification Tool'!$B$9="Gravel",'Quantification Tool'!$B$9="Sand")),ROUND(IF(OR(E419&lt;=2.3,E419&gt;=8.1),0,IF(E419&lt;4,E419*'Reference Standards'!$S$391+'Reference Standards'!$S$392,IF(E419&lt;=5.5,1,E419*'Reference Standards'!$T$391+'Reference Standards'!$T$392))),2), IF(AND(OR('Quantification Tool'!$B$6="Bc",'Quantification Tool'!$B$6="B"),'Quantification Tool'!$B$9="Gravel"),ROUND(IF(E419&gt;=7.1,0,IF(E419&gt;4.5,E419*'Reference Standards'!$S$423+'Reference Standards'!$S$424,1)),2))))))</f>
        <v/>
      </c>
      <c r="G419" s="593" t="str">
        <f>IFERROR(AVERAGE(F419:F422),"")</f>
        <v/>
      </c>
      <c r="H419" s="589"/>
      <c r="I419" s="579"/>
      <c r="J419" s="579"/>
      <c r="K419" s="579"/>
      <c r="L419" s="21"/>
    </row>
    <row r="420" spans="1:12" ht="15.75" x14ac:dyDescent="0.25">
      <c r="A420" s="465"/>
      <c r="B420" s="465"/>
      <c r="C420" s="71" t="s">
        <v>56</v>
      </c>
      <c r="D420" s="71"/>
      <c r="E420" s="208"/>
      <c r="F420" s="329" t="str">
        <f>IF(E420="","",IF(E420&lt;1.25,0,IF(E420&gt;=2.8,1,IF(AND(OR('Quantification Tool'!B$6="B", 'Quantification Tool'!B$6="Bc"),'Quantification Tool'!$B$9="Gravel"),ROUND(E420^2*'Reference Standards'!S$489+E420*'Reference Standards'!S$490+'Reference Standards'!S$491,2), IF(AND(OR('Quantification Tool'!B$6="C", 'Quantification Tool'!B$6="E"),OR('Quantification Tool'!$B$9="Gravel",'Quantification Tool'!$B$9="Sand")), ROUND(IF(E420&lt;=1.7,E420*'Reference Standards'!$S$457+'Reference Standards'!$S$458,E420*'Reference Standards'!$T$457+'Reference Standards'!$T$458),2)    )))))</f>
        <v/>
      </c>
      <c r="G420" s="594"/>
      <c r="H420" s="589"/>
      <c r="I420" s="579"/>
      <c r="J420" s="579"/>
      <c r="K420" s="579"/>
      <c r="L420" s="21"/>
    </row>
    <row r="421" spans="1:12" ht="15.75" x14ac:dyDescent="0.25">
      <c r="A421" s="465"/>
      <c r="B421" s="465"/>
      <c r="C421" s="71" t="s">
        <v>423</v>
      </c>
      <c r="D421" s="71"/>
      <c r="E421" s="208"/>
      <c r="F421" s="330" t="str">
        <f>IF(E421="","",IF(AND('Quantification Tool'!$B$6="E",OR('Quantification Tool'!$B$9="Sand",'Quantification Tool'!$B$9="Gravel")), IF(OR(E421&lt;20,E421&gt;73),0,ROUND(IF(E421&lt;25,E421*'Reference Standards'!$S$526+'Reference Standards'!$S$527,IF(E421&lt;35,1,E421^2*'Reference Standards'!$T$525+E421*'Reference Standards'!$T$526+'Reference Standards'!$T$527)),2)),  IF(AND('Quantification Tool'!$B$6="C",OR('Quantification Tool'!$B$9="Sand",'Quantification Tool'!$B$9="Gravel")), IF(OR(E421&lt;19,E421&gt;63),0,ROUND(IF(E421&lt;43,E421*'Reference Standards'!$S$560+'Reference Standards'!$S$561,IF(E421&lt;52,1,E421*'Reference Standards'!$T$560+'Reference Standards'!$T$561)),2)),IF(AND(OR('Quantification Tool'!$B$6="B",'Quantification Tool'!$B$6="Bc"),'Quantification Tool'!$B$9="Gravel"), IF(OR(E421&lt;18,E421&gt;82),0,ROUND(IF(E421&lt;30,E421^2*'Reference Standards'!$S$594+E421*'Reference Standards'!$S$595+'Reference Standards'!$S$596,IF(E421&lt;41,1,E421*'Reference Standards'!$T$595+'Reference Standards'!$T$596)),2))   ))))</f>
        <v/>
      </c>
      <c r="G421" s="594"/>
      <c r="H421" s="589"/>
      <c r="I421" s="579"/>
      <c r="J421" s="579"/>
      <c r="K421" s="579"/>
      <c r="L421" s="21"/>
    </row>
    <row r="422" spans="1:12" ht="15.75" x14ac:dyDescent="0.25">
      <c r="A422" s="465"/>
      <c r="B422" s="466"/>
      <c r="C422" s="76" t="s">
        <v>254</v>
      </c>
      <c r="D422" s="71"/>
      <c r="E422" s="210"/>
      <c r="F422" s="331" t="str">
        <f>IF(E422="","",IF(E422&gt;=1.6,0,IF(E422&lt;=1,1,ROUND('Reference Standards'!$S$626*E422^3+'Reference Standards'!$S$627*E422^2+'Reference Standards'!$S$628*E422+'Reference Standards'!$S$629,2))))</f>
        <v/>
      </c>
      <c r="G422" s="595"/>
      <c r="H422" s="589"/>
      <c r="I422" s="579"/>
      <c r="J422" s="579"/>
      <c r="K422" s="579"/>
      <c r="L422" s="21"/>
    </row>
    <row r="423" spans="1:12" ht="15.75" x14ac:dyDescent="0.25">
      <c r="A423" s="466"/>
      <c r="B423" s="292" t="s">
        <v>58</v>
      </c>
      <c r="C423" s="305" t="s">
        <v>57</v>
      </c>
      <c r="D423" s="306"/>
      <c r="E423" s="203"/>
      <c r="F423" s="324" t="str">
        <f>IF(E423="","",IF(AND('Quantification Tool'!B$6="E",'Quantification Tool'!$B$9="Sand",'Quantification Tool'!$B$17="Unconfined Alluvial"),ROUND(IF(OR(E423&gt;1.8,E423&lt;1.3),0,IF(E423&lt;=1.6,1,E423*'Reference Standards'!S$660+'Reference Standards'!S$661)),2),    IF('Quantification Tool'!$B$17="Unconfined Alluvial",ROUND(IF(OR(E423&lt;1.2, E423&gt;1.5),0,IF(E423&lt;=1.4,1,E423*'Reference Standards'!$S$693+'Reference Standards'!$S$694)),2), IF('Quantification Tool'!$B$17="Confined Alluvial",ROUND(IF(E423&lt;1.15,0,IF(E423&lt;=1.4,E423*'Reference Standards'!$S$722+'Reference Standards'!$S$723,1)),2),  IF('Quantification Tool'!$B$17="Colluvial",ROUND(IF(E423&gt;1.3,0,IF(E423&gt;1.2,E423*'Reference Standards'!$S$753+'Reference Standards'!$S$754,1)),2) )))))</f>
        <v/>
      </c>
      <c r="G423" s="332" t="str">
        <f>IFERROR(AVERAGE(F423),"")</f>
        <v/>
      </c>
      <c r="H423" s="589"/>
      <c r="I423" s="579"/>
      <c r="J423" s="579"/>
      <c r="K423" s="579"/>
      <c r="L423" s="21"/>
    </row>
    <row r="424" spans="1:12" ht="15.75" x14ac:dyDescent="0.25">
      <c r="A424" s="527" t="s">
        <v>61</v>
      </c>
      <c r="B424" s="83" t="s">
        <v>103</v>
      </c>
      <c r="C424" s="87" t="s">
        <v>427</v>
      </c>
      <c r="D424" s="87"/>
      <c r="E424" s="53"/>
      <c r="F424" s="333" t="str">
        <f>IF(E424="","",ROUND(IF(E424&gt;=942,0,IF(E424&lt;=487,E424*'Reference Standards'!AB$15+'Reference Standards'!AB$16,E424*'Reference Standards'!$AC$15+'Reference Standards'!$AC$16)),2))</f>
        <v/>
      </c>
      <c r="G424" s="334" t="str">
        <f>IFERROR(AVERAGE(F424),"")</f>
        <v/>
      </c>
      <c r="H424" s="596" t="str">
        <f>IFERROR(ROUND(AVERAGE(G424:G427),2),"")</f>
        <v/>
      </c>
      <c r="I424" s="599" t="str">
        <f>IF(H424="","",IF(H424&gt;0.69,"Functioning",IF(H424&gt;0.29,"Functioning At Risk",IF(H424&gt;-1,"Not Functioning"))))</f>
        <v/>
      </c>
      <c r="J424" s="579"/>
      <c r="K424" s="579"/>
      <c r="L424" s="21"/>
    </row>
    <row r="425" spans="1:12" ht="15.75" customHeight="1" x14ac:dyDescent="0.25">
      <c r="A425" s="528"/>
      <c r="B425" s="399" t="s">
        <v>476</v>
      </c>
      <c r="C425" s="81" t="s">
        <v>457</v>
      </c>
      <c r="D425" s="81"/>
      <c r="E425" s="203"/>
      <c r="F425" s="336" t="str">
        <f>IF(E425="","",IF(OR('Quantification Tool'!$B$7="65abei", 'Quantification Tool'!$B$7="65j", 'Quantification Tool'!$B$7="66d", 'Quantification Tool'!$B$7="66e", 'Quantification Tool'!$B$7="66ik", 'Quantification Tool'!$B$7="66f", 'Quantification Tool'!$B$7="66g", 'Quantification Tool'!$B$7="66j", 'Quantification Tool'!$B$7="68a", 'Quantification Tool'!$B$7="69de", 'Quantification Tool'!$B$7="74b",AND(OR('Quantification Tool'!$B$7="67fhi", 'Quantification Tool'!$B$7="67g"),'Quantification Tool'!$B$8&lt;=2),AND(OR('Quantification Tool'!$B$7="68c", 'Quantification Tool'!$B$7="68d"),'Quantification Tool'!$B$14="January - June")),IF(E425&gt;93,0,IF(E425&lt;13,1,ROUND('Reference Standards'!$AB$53*E425^2+'Reference Standards'!$AB$54*E425+'Reference Standards'!$AB$55,2))),   IF(OR(AND(OR('Quantification Tool'!$B$7="67fhi", 'Quantification Tool'!$B$7="67g",'Quantification Tool'!$B$7="71f",'Quantification Tool'!$B$7="71g",'Quantification Tool'!$B$7="71h"),'Quantification Tool'!$B$8&gt;2),AND(OR('Quantification Tool'!$B$7="68c", 'Quantification Tool'!$B$7="68d"),'Quantification Tool'!$B$14="July - December"),'Quantification Tool'!$B$7="73a",'Quantification Tool'!$B$7="73b"),IF(E425&gt;94,0,IF(E425&lt;17,1,ROUND('Reference Standards'!$AC$53*E425^2+'Reference Standards'!$AC$54*E425+'Reference Standards'!$AC$55,2))),    IF(OR(AND(OR('Quantification Tool'!$B$7="68b",'Quantification Tool'!$B$7="71i"),'Quantification Tool'!$B$8&gt;2), 'Quantification Tool'!$B$7="71e"),IF(E425&gt;91,0,IF(E425&lt;24,1,ROUND('Reference Standards'!$AD$53*E425^2+'Reference Standards'!$AD$54*E425+'Reference Standards'!$AD$55,2))),  IF(OR(AND(OR('Quantification Tool'!$B$7="71f",'Quantification Tool'!$B$7="71g",'Quantification Tool'!$B$7="71h",'Quantification Tool'!$B$7="71i"),'Quantification Tool'!$B$8&lt;=2), AND('Quantification Tool'!$B$7="74a",'Quantification Tool'!$B$8&gt;2)),IF(E425&gt;95,0,IF(E425&lt;=36,1,ROUND('Reference Standards'!$AE$53*E425^2+'Reference Standards'!$AE$54*E425+'Reference Standards'!$AE$55,2))))))))</f>
        <v/>
      </c>
      <c r="G425" s="335" t="str">
        <f>IFERROR(AVERAGE(F425:F425),"")</f>
        <v/>
      </c>
      <c r="H425" s="597"/>
      <c r="I425" s="600"/>
      <c r="J425" s="579"/>
      <c r="K425" s="579"/>
    </row>
    <row r="426" spans="1:12" ht="15.75" customHeight="1" x14ac:dyDescent="0.25">
      <c r="A426" s="528"/>
      <c r="B426" s="83" t="s">
        <v>93</v>
      </c>
      <c r="C426" s="84" t="s">
        <v>326</v>
      </c>
      <c r="D426" s="84"/>
      <c r="E426" s="202"/>
      <c r="F426" s="336" t="str">
        <f>IF(E426="","",IF(OR('Quantification Tool'!$B$7="66e",'Quantification Tool'!$B$7="66f",'Quantification Tool'!$B$7="66g"), ROUND(IF(E426&gt;=0.61,0,IF(E426&lt;=0.01,1,IF(E426&lt;=0.06,E426*'Reference Standards'!$AD$197+'Reference Standards'!$AD$198,E426^2*'Reference Standards'!$AB$196+E426*'Reference Standards'!$AB$197+'Reference Standards'!$AB$198))),2),  IF('Quantification Tool'!$B$7="68b", ROUND(IF(E426&gt;=1.1,0,IF(E426&lt;=0.17,1,IF(E426&lt;=0.22,E426*'Reference Standards'!$AE$197+'Reference Standards'!$AE$198,E426^2*'Reference Standards'!$AC$196+E426*'Reference Standards'!$AC$197+'Reference Standards'!$AC$198))),2),IF('Quantification Tool'!$B$8&lt;=2.5,   IF('Quantification Tool'!$B$7="69de",ROUND(IF(E426&gt;=0.22,0,IF(E426&lt;=0.01,1,E426^2*'Reference Standards'!$AB$90+E426*'Reference Standards'!$AB$91+'Reference Standards'!$AB$92)),2),   IF('Quantification Tool'!$B$7="68c",ROUND(IF(E426&gt;=0.87,0,IF(E426&lt;=0.01,1,E426^2*'Reference Standards'!$AC$90+E426*'Reference Standards'!$AC$91+'Reference Standards'!$AC$92)),2),   IF('Quantification Tool'!$B$7="68a",ROUND(IF(E426&gt;=0.81,0,IF(E426&lt;=0.01,1,E426^2*'Reference Standards'!$AD$90+E426*'Reference Standards'!$AD$91+'Reference Standards'!$AD$92)),2),   IF('Quantification Tool'!$B$7="65abei",ROUND(IF(E426&gt;=0.67,0,IF(E426&lt;=0.01,1,IF(E426&lt;=0.18,E426*'Reference Standards'!$AG$91+'Reference Standards'!$AG$92,E426*'Reference Standards'!$AE$91+'Reference Standards'!$AE$92))),2),   IF('Quantification Tool'!$B$7="65j",ROUND(IF(E426&gt;=0.32,0,IF(E426&lt;=0.01,1,IF(E426&lt;=0.25,E426*'Reference Standards'!$AH$91+'Reference Standards'!$AH$92,E426*'Reference Standards'!$AF$91+'Reference Standards'!$AF$92))),2),   IF('Quantification Tool'!$B$7="71f",ROUND(IF(E426&gt;=3,0,IF(E426&lt;=0,1,IF(E426&lt;=0.01,0.7,E426^2*'Reference Standards'!$AB$126+E426*'Reference Standards'!$AB$127+'Reference Standards'!$AB$128))),2),   IF('Quantification Tool'!$B$7="74a",ROUND(IF(E426&gt;=0.14,0,IF(E426&lt;=0.01,1,IF(E426&lt;=0.02,0.7,E426^2*'Reference Standards'!$AC$126+E426*'Reference Standards'!$AC$127+'Reference Standards'!$AC$128))),2),   IF(OR('Quantification Tool'!$B$7="67fhi",'Quantification Tool'!$B$7="67g"),ROUND(IF(E426&gt;=1.9,0,IF(E426&lt;=0.01,1,IF(E426&lt;=0.05,E426*'Reference Standards'!$AF$127+'Reference Standards'!$AF$128,E426^2*'Reference Standards'!$AD$126+E426*'Reference Standards'!$AD$127+'Reference Standards'!$AD$128))),2),   IF('Quantification Tool'!$B$7="73a",ROUND(IF(E426&gt;=1.44,0,IF(E426&lt;=0.01,1,IF(E426&lt;=0.12,E426*'Reference Standards'!$AG$127+'Reference Standards'!$AG$128,E426^2*'Reference Standards'!$AE$126+E426*'Reference Standards'!$AE$127+'Reference Standards'!$AE$128))),2),   IF('Quantification Tool'!$B$7="66d",ROUND(IF(E426&gt;=0.46,0,IF(E426&lt;=0.02,1,IF(E426&lt;=0.08,E426*'Reference Standards'!$AF$163+'Reference Standards'!$AF$164,E426^2*'Reference Standards'!$AB$162+E426*'Reference Standards'!$AB$163+'Reference Standards'!$AB$164))),2),   IF(OR('Quantification Tool'!$B$7="71g",'Quantification Tool'!$B$7="71h",'Quantification Tool'!$B$7="71i"),ROUND(IF(E426&gt;=3,0,IF(E426&lt;=0.06,1,IF(E426&lt;=0.24,E426*'Reference Standards'!$AG$163+'Reference Standards'!$AG$164, E426^2*'Reference Standards'!$AC$162+E426*'Reference Standards'!$AC$163+'Reference Standards'!$AC$164))),2),   IF('Quantification Tool'!$B$7="74b",ROUND(IF(E426&gt;=1.3,0,IF(E426&lt;=0.29,1,IF(E426&lt;=0.48,E426*'Reference Standards'!$AH$163+'Reference Standards'!$AH$164,E426^2*'Reference Standards'!$AD$162+E426*'Reference Standards'!$AD$163+'Reference Standards'!$AD$164))),2),   IF('Quantification Tool'!$B$7="71e",ROUND(IF(E426&gt;=4.3,0,IF(E426&lt;=0.53,1,IF(E426&lt;=0.67,E426*'Reference Standards'!$AI$163+'Reference Standards'!$AI$164,E426^2*'Reference Standards'!$AE$162+E426*'Reference Standards'!$AE$163+'Reference Standards'!$AE$164))),2)       ))))))))))))),IF('Quantification Tool'!$B$8&gt;2.5,    IF('Quantification Tool'!$B$7="73a",ROUND(IF(E426&gt;=0.55,0,IF(E426&lt;=0,1,E426^2*'Reference Standards'!$AB$232+E426*'Reference Standards'!$AB$233+'Reference Standards'!$AB$234)),2),   IF('Quantification Tool'!$B$7="68a",ROUND(IF(E426&gt;=0.54,0,IF(E426&lt;=0,1, IF(E426&lt;=0.01,0.85, E426^2*'Reference Standards'!$AC$232+E426*'Reference Standards'!$AC$233+'Reference Standards'!$AC$234))),2),   IF('Quantification Tool'!$B$7="74a",ROUND(IF(E426&gt;=0.47,0,IF(E426&lt;=0.01,1, IF(E426&lt;=0.02,0.7, E426^2*'Reference Standards'!$AD$232+E426*'Reference Standards'!$AD$233+'Reference Standards'!$AD$234))),2),    IF('Quantification Tool'!$B$7="69de",ROUND(IF(E426&gt;=0.26,0,IF(E426&lt;=0.01,1, IF(E426&lt;=0.02,0.85, E426^2*'Reference Standards'!$AE$232+E426*'Reference Standards'!$AE$233+'Reference Standards'!$AE$234))),2),   IF('Quantification Tool'!$B$7="71f",ROUND(IF(E426&gt;=0.87,0,IF(E426&lt;=0.01,1,IF(E426&lt;=0.04,E426*'Reference Standards'!$AF$269+'Reference Standards'!$AF$270,E426^2*'Reference Standards'!$AB$268+E426*'Reference Standards'!$AB$269+'Reference Standards'!$AB$270))),2),  IF('Quantification Tool'!$B$7="65abei",ROUND(IF(E426&gt;=0.82,0,IF(E426&lt;=0.01,1,IF(E426&lt;=0.06,E426*'Reference Standards'!$AG$269+'Reference Standards'!$AG$270,E426^2*'Reference Standards'!$AC$268+E426*'Reference Standards'!$AC$269+'Reference Standards'!$AC$270))),2),  IF('Quantification Tool'!$B$7="65j",ROUND(IF(E426&gt;=0.33,0,IF(E426&lt;=0.03,1,IF(E426&lt;=0.09,E426*'Reference Standards'!$AH$269+'Reference Standards'!$AH$270,E426^2*'Reference Standards'!$AD$268+E426*'Reference Standards'!$AD$269+'Reference Standards'!$AD$270))),2),  IF('Quantification Tool'!$B$7="68c",ROUND(IF(E426&gt;=0.7,0,IF(E426&lt;=0.07,1,IF(E426&lt;=0.12,E426*'Reference Standards'!$AI$269+'Reference Standards'!$AI$270,E426^2*'Reference Standards'!$AE$268+E426*'Reference Standards'!$AE$269+'Reference Standards'!$AE$270))),2),   IF(OR('Quantification Tool'!$B$7="67fhi",'Quantification Tool'!$B$7="67g"),ROUND(IF(E426&gt;=1.8,0,IF(E426&lt;=0.08,1,IF(E426&lt;=0.2,E426*'Reference Standards'!$AF$306+'Reference Standards'!$AF$307,E426^2*'Reference Standards'!$AB$305+E426*'Reference Standards'!$AB$306+'Reference Standards'!$AB$307))),2),   IF('Quantification Tool'!$B$7="74b",ROUND(IF(E426&gt;=0.96,0,IF(E426&lt;=0.12,1,IF(E426&lt;=0.16,E426*'Reference Standards'!$AG$306+'Reference Standards'!$AG$307,E426^2*'Reference Standards'!$AC$305+E426*'Reference Standards'!$AC$306+'Reference Standards'!$AC$307))),2),   IF('Quantification Tool'!$B$7="66d",ROUND(IF(E426&gt;=0.75,0,IF(E426&lt;=0.13,1,IF(E426&lt;=0.2,E426*'Reference Standards'!$AH$306+'Reference Standards'!$AH$307,E426^2*'Reference Standards'!$AD$305+E426*'Reference Standards'!$AD$306+'Reference Standards'!$AD$307))),2),    IF(OR('Quantification Tool'!$B$7="71g",'Quantification Tool'!$B$7="71h",'Quantification Tool'!$B$7="71i"),ROUND(IF(E426&gt;=1.68,0,IF(E426&lt;=0.08,1,IF(E426&lt;=0.23,E426*'Reference Standards'!$AI$306+'Reference Standards'!$AI$307,E426^2*'Reference Standards'!$AE$305+E426*'Reference Standards'!$AE$306+'Reference Standards'!$AE$307))),2),   IF('Quantification Tool'!$B$7="71e",ROUND(IF(E426&gt;=5.3,0,IF(E426&lt;=0.94,1,IF(E426&lt;=1.4,E426*'Reference Standards'!$AF$310+'Reference Standards'!$AF$311,E426^2*'Reference Standards'!$AB$309+E426*'Reference Standards'!$AB$310+'Reference Standards'!$AB$311))),2))    )))))))))))))))))</f>
        <v/>
      </c>
      <c r="G426" s="337" t="str">
        <f>IFERROR(AVERAGE(F426),"")</f>
        <v/>
      </c>
      <c r="H426" s="597"/>
      <c r="I426" s="600"/>
      <c r="J426" s="579"/>
      <c r="K426" s="579"/>
    </row>
    <row r="427" spans="1:12" ht="15.75" customHeight="1" x14ac:dyDescent="0.25">
      <c r="A427" s="529"/>
      <c r="B427" s="293" t="s">
        <v>94</v>
      </c>
      <c r="C427" s="81" t="s">
        <v>325</v>
      </c>
      <c r="D427" s="81"/>
      <c r="E427" s="167"/>
      <c r="F427" s="333" t="str">
        <f>IF(E427="","",IF('Quantification Tool'!$B$8&gt;2.5,IF(OR('Quantification Tool'!$B$7="71h",'Quantification Tool'!$B$7="71i",'Quantification Tool'!$B$7="73a",'Quantification Tool'!$B$7="74a"),IF(E427&lt;=0.01,1,IF(OR('Quantification Tool'!$B$7="71h",'Quantification Tool'!$B$7="71i"),IF(E427&gt;0.37,0,ROUND(IF(E427&gt;0.03,'Reference Standards'!$AB$425*E427^2+'Reference Standards'!$AB$426*E427+'Reference Standards'!$AB$427,'Reference Standards'!$AF$426*E427+'Reference Standards'!$AF$427),2)),  IF('Quantification Tool'!$B$7="73a",IF(E427&gt;0.405,0,ROUND(IF(E427&gt;0.046,'Reference Standards'!$AC$425*E427^2+'Reference Standards'!$AC$426*E427+'Reference Standards'!$AC$427,'Reference Standards'!$AG$426*E427+'Reference Standards'!$AG$427),2)),IF('Quantification Tool'!$B$7="74a",IF(E427&gt;0.3,0,ROUND(IF(E427&gt;0.052,'Reference Standards'!$AD$425*E427^2+'Reference Standards'!$AD$426*E427+'Reference Standards'!$AD$427,'Reference Standards'!$AH$426*E427+'Reference Standards'!$AH$427),2)))))),   IF(E427&lt;=0.002,1,IF(OR('Quantification Tool'!$B$7="66d",'Quantification Tool'!$B$7="66e",'Quantification Tool'!$B$7="66g"),IF(E427&gt;0.053,0,ROUND(E427^2*'Reference Standards'!$AB$347+E427*'Reference Standards'!$AB$348+'Reference Standards'!$AB$349,2)), IF('Quantification Tool'!$B$7="68b",IF(E427&gt;0.05,0,ROUND(E427^2*'Reference Standards'!$AC$347+E427*'Reference Standards'!$AC$348+'Reference Standards'!$AC$349,2)),  IF(OR('Quantification Tool'!$B$7="68a",'Quantification Tool'!$B$7="68c"),IF(E427&gt;0.07,0,ROUND(E427^2*'Reference Standards'!$AD$347+E427*'Reference Standards'!$AD$348+'Reference Standards'!$AD$349,2)), IF(OR('Quantification Tool'!$B$7="71f",'Quantification Tool'!$B$7="71g"),IF(E427&gt;0.13,0,ROUND(IF(E427&gt;0.042,E427*'Reference Standards'!$AE$348+'Reference Standards'!$AE$349,E427*'Reference Standards'!$AF$348+'Reference Standards'!$AF$349),2)), IF('Quantification Tool'!$B$7="67fhi",IF(E427&gt;0.16,0,ROUND(E427^2*'Reference Standards'!$AG$347+E427*'Reference Standards'!$AG$348+'Reference Standards'!$AG$349,2)),  IF('Quantification Tool'!$B$7="65j",IF(E427&gt;0.035,0,ROUND(IF(E427&lt;=0.003,0.7,E427^2*'Reference Standards'!$AB$387+E427*'Reference Standards'!$AB$388+'Reference Standards'!$AB$389),2)),IF('Quantification Tool'!$B$7="69de",IF(E427&gt;0.037,0,ROUND(IF(E427&lt;=0.003,0.7,E427^2*'Reference Standards'!$AC$387+E427*'Reference Standards'!$AC$388+'Reference Standards'!$AC$389),2)),IF('Quantification Tool'!$B$7="71e",IF(E427&gt;0.23,0,ROUND(IF(E427&lt;=0.003,0.7,E427^2*'Reference Standards'!$AD$387+E427*'Reference Standards'!$AD$388+'Reference Standards'!$AD$389),2)),IF('Quantification Tool'!$B$7="66f",IF(E427&gt;0.06,0,ROUND(IF(E427&lt;=0.003,0.85,IF(E427&lt;=0.004,0.7,E427^2*'Reference Standards'!$AE$387+E427*'Reference Standards'!$AE$388+'Reference Standards'!$AE$389)),2)),IF('Quantification Tool'!$B$7="67g",IF(E427&gt;0.11,0,ROUND(IF(E427&lt;=0.01,E427*'Reference Standards'!$AH$388+'Reference Standards'!$AH$389, E427^2*'Reference Standards'!$AF$387+E427*'Reference Standards'!$AF$388+'Reference Standards'!$AF$389),2)),IF('Quantification Tool'!$B$7="74b",IF(E427&gt;0.49,0,ROUND(IF(E427&lt;=0.01,E427*'Reference Standards'!$AH$388+'Reference Standards'!$AH$389, E427^2*'Reference Standards'!$AG$387+E427*'Reference Standards'!$AG$388+'Reference Standards'!$AG$389),2)),IF('Quantification Tool'!$B$7="65abei",IF(E427&gt;0.199,0,ROUND(IF(E427&lt;=0.01,E427*'Reference Standards'!$AI$426+'Reference Standards'!$AI$427, E427^2*'Reference Standards'!$AE$425+E427*'Reference Standards'!$AE$426+'Reference Standards'!$AE$427),2))    )))))))))))))),      IF('Quantification Tool'!$B$8&lt;=2.5, IF(OR('Quantification Tool'!$B$7="66d",'Quantification Tool'!$B$7="66e",'Quantification Tool'!$B$7="66g"),IF(E427&gt;0.05,0,ROUND(IF(E427&lt;=0.002,1,IF(E427&lt;=0.005,E427*'Reference Standards'!$AF$464+'Reference Standards'!$AF$465, E427^2*'Reference Standards'!$AB$463+E427*'Reference Standards'!$AB$464+'Reference Standards'!$AB$465)),2)), IF('Quantification Tool'!$B$7="67fhi",IF(E427&gt;0.1,0,ROUND(IF(E427&lt;=0.002,1,IF(E427&lt;=0.006,E427*'Reference Standards'!$AG$464+'Reference Standards'!$AG$465, E427^2*'Reference Standards'!$AC$463+E427*'Reference Standards'!$AC$464+'Reference Standards'!$AC$465)),2)), IF('Quantification Tool'!$B$7="65abei",IF(E427&gt;0.13,0,ROUND(IF(E427&lt;=0.003,1,IF(E427&lt;=0.008,E427*'Reference Standards'!$AH$464+'Reference Standards'!$AH$465, E427^2*'Reference Standards'!$AD$463+E427*'Reference Standards'!$AD$464+'Reference Standards'!$AD$465)),2)), IF('Quantification Tool'!$B$7="68b",IF(E427&gt;0.043,0,ROUND(IF(E427&lt;=0.004,1, IF(E427&lt;=0.005,0.7, E427^2*'Reference Standards'!$AE$463+E427*'Reference Standards'!$AE$464+'Reference Standards'!$AE$465)),2)), IF('Quantification Tool'!$B$7="69de",IF(E427&gt;=0.034,0,ROUND(IF(E427&lt;=0.003,1, IF(E427&lt;=0.006,E427*'Reference Standards'!$AG$500+'Reference Standards'!$AG$501, E427*'Reference Standards'!$AB$500+'Reference Standards'!$AB$501)),2)), IF(OR('Quantification Tool'!$B$7="68a",'Quantification Tool'!$B$7="68c"),IF(E427&gt;0.202,0,ROUND(IF(E427&lt;=0.003,1, IF(E427&lt;=0.006,E427*'Reference Standards'!$AG$500+'Reference Standards'!$AG$501, IF(E427&gt;=0.04,E427*'Reference Standards'!$AC$500+'Reference Standards'!$AC$501,E427*'Reference Standards'!$AE$500+'Reference Standards'!$AE$501))),2)), IF(OR('Quantification Tool'!$B$7="71f",'Quantification Tool'!$B$7="71g"),IF(E427&gt;0.631,0,ROUND(IF(E427&lt;=0.003,1, IF(E427&lt;=0.006,E427*'Reference Standards'!$AG$500+'Reference Standards'!$AG$501, IF(E427&gt;=0.17,E427*'Reference Standards'!$AD$500+'Reference Standards'!$AD$501,E427*'Reference Standards'!$AF$500+'Reference Standards'!$AF$501))),2)),   IF('Quantification Tool'!$B$7="71e",IF(E427&gt;1.23,0,ROUND(IF(E427&lt;=0.004,1,IF(E427&lt;=0.006,E427*'Reference Standards'!$AF$538+'Reference Standards'!$AF$539, E427^2*'Reference Standards'!$AB$537+E427*'Reference Standards'!$AB$538+'Reference Standards'!$AB$539)),2)), IF('Quantification Tool'!$B$7="67g",IF(E427&gt;0.11,0,ROUND(IF(E427&lt;=0.006,1,IF(E427&lt;=0.011,E427*'Reference Standards'!$AG$538+'Reference Standards'!$AG$539, E427^2*'Reference Standards'!$AC$537+E427*'Reference Standards'!$AC$538+'Reference Standards'!$AC$539)),2)), IF('Quantification Tool'!$B$7="65j",IF(E427&gt;0.046,0,ROUND(IF(E427&lt;=0.007,1,IF(E427&lt;=0.012,E427*'Reference Standards'!$AH$538+'Reference Standards'!$AH$539, E427^2*'Reference Standards'!$AD$537+E427*'Reference Standards'!$AD$538+'Reference Standards'!$AD$539)),2)), IF('Quantification Tool'!$B$7="66f",IF(E427&gt;0.081,0,ROUND(IF(E427&lt;=0.008,1,IF(E427&lt;=0.011,E427*'Reference Standards'!$AI$538+'Reference Standards'!$AI$539, E427^2*'Reference Standards'!$AE$537+E427*'Reference Standards'!$AE$538+'Reference Standards'!$AE$539)),2)), IF(OR('Quantification Tool'!$B$7="71h",'Quantification Tool'!$B$7="71i"),IF(E427&gt;0.37,0,ROUND(IF(E427&lt;=0.013,1,IF(E427&lt;=0.032,E427*'Reference Standards'!$AH$576+'Reference Standards'!$AH$577, IF(E427&lt;=0.3,E427*'Reference Standards'!$AF$576+'Reference Standards'!$AF$577,E427*'Reference Standards'!$AB$576+'Reference Standards'!$AB$577))),2)), IF('Quantification Tool'!$B$7="73a",IF(E427&gt;0.448,0,ROUND(IF(E427&lt;=0.071,1,IF(E427&lt;=0.086,E427*'Reference Standards'!$AJ$576+'Reference Standards'!$AJ$577, IF(E427&lt;=0.165,E427*'Reference Standards'!$AG$576+'Reference Standards'!$AG$577,E427*'Reference Standards'!$AE$576+'Reference Standards'!$AE$577))),2)),  IF('Quantification Tool'!$B$7="74b",IF(E427&gt;0.43,0,ROUND(IF(E427&lt;=0.018,1,IF(E427&lt;=0.019,0.85, IF(E427&lt;=0.02,0.7, E427^2*'Reference Standards'!$AC$575+E427*'Reference Standards'!$AC$576+'Reference Standards'!$AC$577))),2)), IF('Quantification Tool'!$B$7="74a",IF(E427&gt;0.217,0,ROUND(IF(E427&lt;=0.02,1,IF(E427&lt;=0.033,E427*'Reference Standards'!$AI$576+'Reference Standards'!$AI$577, E427^2*'Reference Standards'!$AD$575+E427*'Reference Standards'!$AD$576+'Reference Standards'!$AD$577)),2))     ))))))))))))))))))</f>
        <v/>
      </c>
      <c r="G427" s="338" t="str">
        <f>IFERROR(AVERAGE(F427),"")</f>
        <v/>
      </c>
      <c r="H427" s="598"/>
      <c r="I427" s="601"/>
      <c r="J427" s="579"/>
      <c r="K427" s="579"/>
    </row>
    <row r="428" spans="1:12" ht="15.75" x14ac:dyDescent="0.25">
      <c r="A428" s="538" t="s">
        <v>62</v>
      </c>
      <c r="B428" s="517" t="s">
        <v>432</v>
      </c>
      <c r="C428" s="154" t="s">
        <v>419</v>
      </c>
      <c r="D428" s="155"/>
      <c r="E428" s="209"/>
      <c r="F428" s="339" t="str">
        <f>IF(E428="","",IF(OR('Quantification Tool'!B$7="73a",'Quantification Tool'!B$7="73b"),IF(E428&lt;1,0,IF(E428&gt;=30,1,ROUND(IF(E428&lt;22,'Reference Standards'!$AL$16*E428+'Reference Standards'!$AL$17,'Reference Standards'!$AM$16*E428+'Reference Standards'!$AM$17),2))), IF(E428&lt;1,0, IF(E428&gt;=42,1, ROUND(IF(E428&lt;32,'Reference Standards'!$AN$16*E428+'Reference Standards'!$AN$17,'Reference Standards'!$AO$16*E428+'Reference Standards'!$AO$17),2)))))</f>
        <v/>
      </c>
      <c r="G428" s="602" t="str">
        <f>IFERROR(AVERAGE(F428:F431),"")</f>
        <v/>
      </c>
      <c r="H428" s="603" t="str">
        <f>IFERROR(ROUND(AVERAGE(G428:G433),2),"")</f>
        <v/>
      </c>
      <c r="I428" s="578" t="str">
        <f>IF(H428="","",IF(H428&gt;0.69,"Functioning",IF(H428&gt;0.29,"Functioning At Risk",IF(H428&gt;-1,"Not Functioning"))))</f>
        <v/>
      </c>
      <c r="J428" s="579"/>
      <c r="K428" s="579"/>
    </row>
    <row r="429" spans="1:12" ht="15.75" x14ac:dyDescent="0.25">
      <c r="A429" s="539"/>
      <c r="B429" s="518"/>
      <c r="C429" s="217" t="s">
        <v>424</v>
      </c>
      <c r="D429" s="218"/>
      <c r="E429" s="208"/>
      <c r="F429" s="340" t="str">
        <f>IF(E429="","",IF(AND('Quantification Tool'!$B$7="74b",'Quantification Tool'!$B$8&lt;=2),IF(E429&lt;0,0,IF(E429&gt;15.6,0.69,ROUND('Reference Standards'!$AL$54*E429^2+'Reference Standards'!$AL$55*E429+'Reference Standards'!$AL$56,2))),IF(AND('Quantification Tool'!$B$7="65abei",'Quantification Tool'!$B$8&lt;=2),IF(E429&lt;0,0,IF(E429&gt;=20,0.69,ROUND('Reference Standards'!$AM$54*E429^2+'Reference Standards'!$AM$55*E429+'Reference Standards'!$AM$56,2))),IF(OR(AND('Quantification Tool'!$B$7="74a",'Quantification Tool'!$B$8&gt;2,'Quantification Tool'!$B$14="January - June"),AND('Quantification Tool'!$B$7="71i",'Quantification Tool'!$B$8&gt;2,'Quantification Tool'!$B$15="SQBANK")),IF(E429&lt;0,0,IF(E429&gt;24.7,0.69,ROUND('Reference Standards'!$AN$54*E429^2+'Reference Standards'!$AN$55*E429+'Reference Standards'!$AN$56,2))),IF(OR('Quantification Tool'!$B$7="74b",'Quantification Tool'!$B$7="65abei"),IF(E429&lt;0,0,IF(E429&gt;32.7,0.69,ROUND('Reference Standards'!$AO$54*E429^2+'Reference Standards'!$AO$55*E429+'Reference Standards'!$AO$56,2))),IF(AND('Quantification Tool'!$B$7="68b",'Quantification Tool'!$B$8&gt;2),IF(E429&lt;0,0,IF(E429&gt;41.2,0.69,ROUND('Reference Standards'!$AP$54*E429^2+'Reference Standards'!$AP$55*E429+'Reference Standards'!$AP$56,2))),IF(OR(AND('Quantification Tool'!$B$7="71i",'Quantification Tool'!$B$8&lt;=2),AND(OR('Quantification Tool'!$B$7="68c",'Quantification Tool'!$B$7="68d"),'Quantification Tool'!$B$14="January - June")),IF(E429&lt;0,0,IF(E429&gt;49.2,0.69,ROUND('Reference Standards'!$AL$94*E429^2+'Reference Standards'!$AL$95*E429+'Reference Standards'!$AL$96,2))),IF(OR(AND('Quantification Tool'!$B$7="68a",'Quantification Tool'!$B$14="January - June"),AND(OR('Quantification Tool'!$B$7="68c",'Quantification Tool'!$B$7="68d"),'Quantification Tool'!$B$14="July - December")),IF(E429&lt;0,0,IF(E429&gt;53.4,0.69,ROUND('Reference Standards'!$AM$94*E429^2+'Reference Standards'!$AM$95*E429+'Reference Standards'!$AM$96,2))),IF(OR(AND('Quantification Tool'!$B$7="71i",'Quantification Tool'!$B$8&gt;2,'Quantification Tool'!$B$15="SQKICK"),AND(OR('Quantification Tool'!$B$7="67fhi",'Quantification Tool'!$B$7="67g"),'Quantification Tool'!$B$8&lt;=2),'Quantification Tool'!$B$7="65j"),IF(E429&lt;0,0,IF(E429&gt;57.8,0.69,ROUND('Reference Standards'!$AN$94*E429^2+'Reference Standards'!$AN$95*E429+'Reference Standards'!$AN$96,2))),IF(OR(AND('Quantification Tool'!$B$7="74a",'Quantification Tool'!$B$8&gt;2,'Quantification Tool'!$B$14="July - December"),AND(OR('Quantification Tool'!$B$7="67fhi",'Quantification Tool'!$B$7="67g"),'Quantification Tool'!$B$8&gt;2),'Quantification Tool'!$B$7="69de"),IF(E429&lt;0,0,IF(E429&gt;62.5,0.69,ROUND('Reference Standards'!$AO$94*E429^2+'Reference Standards'!$AO$95*E429+'Reference Standards'!$AO$96,2))),  IF(OR('Quantification Tool'!$B$7="66d",'Quantification Tool'!$B$7="66e",'Quantification Tool'!$B$7="66ik",'Quantification Tool'!$B$7="71e",'Quantification Tool'!$B$7="71f",'Quantification Tool'!$B$7="71g",'Quantification Tool'!$B$7="71h"),IF(E429&lt;0,0,IF(E429&gt;66.5,0.69,ROUND('Reference Standards'!$AP$94*E429^2+'Reference Standards'!$AP$95*E429+'Reference Standards'!$AP$96,2))),IF(OR('Quantification Tool'!$B$7="66f",'Quantification Tool'!$B$7="66g",'Quantification Tool'!$B$7="66j",AND('Quantification Tool'!$B$7="68a",'Quantification Tool'!$B$14="July - December")), IF(E429&lt;0,0,IF(E429&gt;69,0.69,ROUND('Reference Standards'!$AQ$94*E429^2+'Reference Standards'!$AQ$95*E429+'Reference Standards'!$AQ$96,2))))   )))))))))))</f>
        <v/>
      </c>
      <c r="G429" s="602"/>
      <c r="H429" s="603"/>
      <c r="I429" s="578"/>
      <c r="J429" s="579"/>
      <c r="K429" s="579"/>
    </row>
    <row r="430" spans="1:12" ht="15.75" x14ac:dyDescent="0.25">
      <c r="A430" s="539"/>
      <c r="B430" s="518"/>
      <c r="C430" s="217" t="s">
        <v>428</v>
      </c>
      <c r="D430" s="218"/>
      <c r="E430" s="208"/>
      <c r="F430" s="340" t="str">
        <f>IF(E430="","",IF(AND('Quantification Tool'!$B$7="74b",'Quantification Tool'!$B$8&lt;=2),IF(E430&lt;0,0,IF(E430&gt;8.1,0.69,ROUND('Reference Standards'!$AL$131*E430^2+'Reference Standards'!$AL$132*E430+'Reference Standards'!$AL$133,2))),IF(OR('Quantification Tool'!$B$7="73a",'Quantification Tool'!$B$7="73b"),IF(E430&lt;0,0,IF(E430&gt;=28,0.69,ROUND('Reference Standards'!$AM$131*E430^2+'Reference Standards'!$AM$132*E430+'Reference Standards'!$AM$133,2))),IF(AND('Quantification Tool'!$B$7="74a",'Quantification Tool'!$B$8&gt;2,'Quantification Tool'!$B$14="January - June"),IF(E430&lt;0,0,IF(E430&gt;=32.5,0.69,ROUND('Reference Standards'!$AN$131*E430^2+'Reference Standards'!$AN$132*E430+'Reference Standards'!$AN$133,2))),IF(AND('Quantification Tool'!$B$7="71i",'Quantification Tool'!$B$8&gt;2,'Quantification Tool'!$B$15="SQBANK"),IF(E430&lt;0,0,IF(E430&gt;=37,0.69,ROUND('Reference Standards'!$AO$131*E430^2+'Reference Standards'!$AO$132*E430+'Reference Standards'!$AO$133,2))),IF(OR(AND(OR('Quantification Tool'!$B$7="65abei",'Quantification Tool'!$B$7="74b"),'Quantification Tool'!$B$8&gt;2),AND('Quantification Tool'!$B$7="71i",'Quantification Tool'!$B$8&gt;2,'Quantification Tool'!$B$15="SQKICK")),IF(E430&lt;0,0,IF(E430&gt;42.6,0.69,ROUND('Reference Standards'!$AP$131*E430^2+'Reference Standards'!$AP$132*E430+'Reference Standards'!$AP$133,2))),     IF(OR(AND('Quantification Tool'!$B$7="65abei",'Quantification Tool'!$B$8&lt;=2),AND(OR('Quantification Tool'!$B$7="68c",'Quantification Tool'!$B$7="68d"),'Quantification Tool'!$B$14="July - December"),'Quantification Tool'!$B$7="71e"),IF(E430&lt;0,0,IF(E430&gt;=48,0.69,ROUND('Reference Standards'!$AL$171*E430^2+'Reference Standards'!$AL$172*E430+'Reference Standards'!$AL$173,2))),IF(OR('Quantification Tool'!$B$7="65j",'Quantification Tool'!$B$7="67fhi",'Quantification Tool'!$B$7="67g",AND('Quantification Tool'!$B$7="74a",'Quantification Tool'!$B$14="July - December",'Quantification Tool'!$B$8&gt;2),AND('Quantification Tool'!$B$7="71i",'Quantification Tool'!$B$8&lt;=2)),IF(E430&lt;0,0,IF(E430&gt;=53,0.69,ROUND('Reference Standards'!$AM$171*E430^2+'Reference Standards'!$AM$172*E430+'Reference Standards'!$AM$173,2))),IF(OR(AND(OR('Quantification Tool'!$B$7="68b",'Quantification Tool'!$B$7="71f",'Quantification Tool'!$B$7="71g",'Quantification Tool'!$B$7="71h"),'Quantification Tool'!$B$8&gt;2),'Quantification Tool'!$B$7="68a"),IF(E430&lt;0,0,IF(E430&gt;=57,0.69,ROUND('Reference Standards'!$AN$171*E430^2+'Reference Standards'!$AN$172*E430+'Reference Standards'!$AN$173,2))),IF(OR('Quantification Tool'!$B$7="66f",'Quantification Tool'!$B$7="66g",'Quantification Tool'!$B$7="66j",AND(OR('Quantification Tool'!$B$7="71f",'Quantification Tool'!$B$7="71g",'Quantification Tool'!$B$7="71h"),'Quantification Tool'!$B$8&lt;=2)),IF(E430&lt;0,0,IF(E430&gt;=60,0.69,ROUND('Reference Standards'!$AO$171*E430^2+'Reference Standards'!$AO$172*E430+'Reference Standards'!$AO$173,2))),  IF(OR('Quantification Tool'!$B$7="66d",'Quantification Tool'!$B$7="66e",'Quantification Tool'!$B$7="66ik", AND(OR('Quantification Tool'!$B$7="68c",'Quantification Tool'!$B$7="68d"),'Quantification Tool'!$B$14="January - June"),AND('Quantification Tool'!$B$7="69de",'Quantification Tool'!$B$14="July - December")),IF(E430&lt;0,0,IF(E430&gt;=67.5,0.69,ROUND('Reference Standards'!$AP$171*E430^2+'Reference Standards'!$AP$172*E430+'Reference Standards'!$AP$173,2))),IF(AND('Quantification Tool'!$B$7="69de",'Quantification Tool'!$B$14="January - June"), IF(E430&lt;0,0,IF(E430&gt;=72,0.69,ROUND('Reference Standards'!$AQ$171*E430^2+'Reference Standards'!$AQ$172*E430+'Reference Standards'!$AQ$173,2))))   )))))))))))</f>
        <v/>
      </c>
      <c r="G430" s="602"/>
      <c r="H430" s="603"/>
      <c r="I430" s="578"/>
      <c r="J430" s="579"/>
      <c r="K430" s="579"/>
    </row>
    <row r="431" spans="1:12" ht="15.75" x14ac:dyDescent="0.25">
      <c r="A431" s="539"/>
      <c r="B431" s="519"/>
      <c r="C431" s="156" t="s">
        <v>425</v>
      </c>
      <c r="D431" s="88"/>
      <c r="E431" s="210"/>
      <c r="F431" s="340" t="str">
        <f>IF(E431="","",IF(OR('Quantification Tool'!$B$7="67fhi",'Quantification Tool'!$B$7="67g",'Quantification Tool'!$B$7="71e",'Quantification Tool'!$B$7="73a",'Quantification Tool'!$B$7="73b",AND(OR('Quantification Tool'!$B$7="71f",'Quantification Tool'!$B$7="71g",'Quantification Tool'!$B$7="71h"),'Quantification Tool'!$B$8&gt;2)),IF(E431&gt;100,0,IF(E431&lt;15,0.69,ROUND('Reference Standards'!$AL$208*E431^2+'Reference Standards'!$AL$209*E431+'Reference Standards'!$AL$210,2))),  IF(OR('Quantification Tool'!$B$7="66d",'Quantification Tool'!$B$7="66e",'Quantification Tool'!$B$7="66ik",'Quantification Tool'!$B$7="66f",'Quantification Tool'!$B$7="66g",'Quantification Tool'!$B$7="66j",'Quantification Tool'!$B$7="68a",'Quantification Tool'!$B$7="68c",'Quantification Tool'!$B$7="68d",AND('Quantification Tool'!$B$7="69de",'Quantification Tool'!$B$14="July - December"), AND('Quantification Tool'!$B$7="71i",'Quantification Tool'!$B$8&lt;=2), AND('Quantification Tool'!$B$7="71i",'Quantification Tool'!$B$8&gt;2,'Quantification Tool'!$B$15="SQBANK" ), AND('Quantification Tool'!$B$7="74a",'Quantification Tool'!$B$8&gt;2,'Quantification Tool'!$B$14="July - December") ),IF(E431&gt;100,0,IF(E431&lt;19,0.69,ROUND('Reference Standards'!$AM$208*E431^2+'Reference Standards'!$AM$209*E431+'Reference Standards'!$AM$210,2))),    IF(OR(AND('Quantification Tool'!$B$7="69de",'Quantification Tool'!$B$14="January - June"),AND('Quantification Tool'!$B$7="71i",'Quantification Tool'!$B$8&gt;2,'Quantification Tool'!$B$15="SQKICK" )),IF(E431&gt;100,0,IF(E431&lt;22,0.69,ROUND('Reference Standards'!$AN$208*E431^2+'Reference Standards'!$AN$209*E431+'Reference Standards'!$AN$210,2))),    IF(OR('Quantification Tool'!$B$7="65j",AND('Quantification Tool'!$B$7="68b",'Quantification Tool'!$B$8&gt;2)),IF(E431&gt;100,0,IF(E431&lt;24,0.69,ROUND('Reference Standards'!$AO$208*E431^2+'Reference Standards'!$AO$209*E431+'Reference Standards'!$AO$210,2))),    IF(AND(OR('Quantification Tool'!$B$7="65abei",'Quantification Tool'!$B$7="71f",'Quantification Tool'!$B$7="71g",'Quantification Tool'!$B$7="71h"),'Quantification Tool'!$B$8&lt;=2),IF(E431&gt;95,0,IF(E431&lt;33,0.69,ROUND('Reference Standards'!$AL$246*E431^2+'Reference Standards'!$AL$247*E431+'Reference Standards'!$AL$248,2))),   IF(AND(OR('Quantification Tool'!$B$7="65abei",'Quantification Tool'!$B$7="74b"),'Quantification Tool'!$B$8&gt;2),IF(E431&gt;97,0,IF(E431&lt;36,0.69,ROUND('Reference Standards'!$AM$246*E431^2+'Reference Standards'!$AM$247*E431+'Reference Standards'!$AM$248,2))),  IF(AND('Quantification Tool'!$B$7="74a",'Quantification Tool'!$B$14="January - June",'Quantification Tool'!$B$8&gt;2),IF(E431&gt;93,0,IF(E431&lt;52,0.69,ROUND('Reference Standards'!$AN$246*E431^2+'Reference Standards'!$AN$247*E431+'Reference Standards'!$AN$248,2))),   IF(AND('Quantification Tool'!$B$7="74b",'Quantification Tool'!$B$8&lt;=2),IF(E431&gt;97,0,IF(E431&lt;62,0.69,ROUND('Reference Standards'!$AO$246*E431^2+'Reference Standards'!$AO$247*E431+'Reference Standards'!$AO$248,2)))  )))))))))</f>
        <v/>
      </c>
      <c r="G431" s="602"/>
      <c r="H431" s="603"/>
      <c r="I431" s="578"/>
      <c r="J431" s="579"/>
      <c r="K431" s="579"/>
    </row>
    <row r="432" spans="1:12" ht="15.75" x14ac:dyDescent="0.25">
      <c r="A432" s="539"/>
      <c r="B432" s="530" t="s">
        <v>86</v>
      </c>
      <c r="C432" s="154" t="s">
        <v>255</v>
      </c>
      <c r="D432" s="155"/>
      <c r="E432" s="209"/>
      <c r="F432" s="339" t="str">
        <f>IF(E432="","",IF(E432=1,0.15,IF(E432=3,0.5,IF(E432=5,0.85,0))))</f>
        <v/>
      </c>
      <c r="G432" s="604" t="str">
        <f>IFERROR(AVERAGE(F432:F433),"")</f>
        <v/>
      </c>
      <c r="H432" s="603"/>
      <c r="I432" s="578"/>
      <c r="J432" s="579"/>
      <c r="K432" s="579"/>
    </row>
    <row r="433" spans="1:11" ht="15.75" x14ac:dyDescent="0.25">
      <c r="A433" s="540"/>
      <c r="B433" s="530"/>
      <c r="C433" s="156" t="s">
        <v>420</v>
      </c>
      <c r="D433" s="88"/>
      <c r="E433" s="210"/>
      <c r="F433" s="341" t="str">
        <f>IF(E433="","",IF(E433=1,0.15,IF(E433=3,0.5,IF(E433=5,0.85,0))))</f>
        <v/>
      </c>
      <c r="G433" s="605"/>
      <c r="H433" s="603"/>
      <c r="I433" s="578"/>
      <c r="J433" s="579"/>
      <c r="K433" s="579"/>
    </row>
  </sheetData>
  <sheetProtection algorithmName="SHA-512" hashValue="9hdQfYUZ8oykJ3FLkiIuZkD+WnKsyWhq1wPzBsFiiAHBRpyfB5KQjGC3eEbnwghgmSmi3LkQnkMuq4Ob3WyY/w==" saltValue="rXG/z3sp+s8DAl3pSeaXLw==" spinCount="100000" sheet="1" objects="1" scenarios="1"/>
  <dataConsolidate/>
  <mergeCells count="386">
    <mergeCell ref="B432:B433"/>
    <mergeCell ref="G432:G433"/>
    <mergeCell ref="B325:B326"/>
    <mergeCell ref="G325:G326"/>
    <mergeCell ref="B352:B353"/>
    <mergeCell ref="G352:G353"/>
    <mergeCell ref="B365:B366"/>
    <mergeCell ref="G365:G366"/>
    <mergeCell ref="B392:B393"/>
    <mergeCell ref="G392:G393"/>
    <mergeCell ref="B405:B406"/>
    <mergeCell ref="G405:G406"/>
    <mergeCell ref="B168:B170"/>
    <mergeCell ref="G232:G233"/>
    <mergeCell ref="B245:B246"/>
    <mergeCell ref="G245:G246"/>
    <mergeCell ref="B272:B273"/>
    <mergeCell ref="G272:G273"/>
    <mergeCell ref="B285:B286"/>
    <mergeCell ref="G285:G286"/>
    <mergeCell ref="B312:B313"/>
    <mergeCell ref="G312:G313"/>
    <mergeCell ref="G210:G217"/>
    <mergeCell ref="B219:B222"/>
    <mergeCell ref="G219:G222"/>
    <mergeCell ref="G196:K196"/>
    <mergeCell ref="C197:D197"/>
    <mergeCell ref="G236:K236"/>
    <mergeCell ref="C237:D237"/>
    <mergeCell ref="B129:B131"/>
    <mergeCell ref="G129:G131"/>
    <mergeCell ref="J159:J194"/>
    <mergeCell ref="K159:K194"/>
    <mergeCell ref="A166:A184"/>
    <mergeCell ref="B166:B167"/>
    <mergeCell ref="G166:G167"/>
    <mergeCell ref="H166:H184"/>
    <mergeCell ref="I166:I184"/>
    <mergeCell ref="B180:B183"/>
    <mergeCell ref="G180:G183"/>
    <mergeCell ref="A185:A188"/>
    <mergeCell ref="H185:H188"/>
    <mergeCell ref="I185:I188"/>
    <mergeCell ref="A189:A194"/>
    <mergeCell ref="B189:B192"/>
    <mergeCell ref="G189:G192"/>
    <mergeCell ref="H189:H194"/>
    <mergeCell ref="I189:I194"/>
    <mergeCell ref="B193:B194"/>
    <mergeCell ref="G193:G194"/>
    <mergeCell ref="G168:G170"/>
    <mergeCell ref="B171:B178"/>
    <mergeCell ref="G171:G178"/>
    <mergeCell ref="A150:A155"/>
    <mergeCell ref="B150:B153"/>
    <mergeCell ref="G150:G153"/>
    <mergeCell ref="H150:H155"/>
    <mergeCell ref="I150:I155"/>
    <mergeCell ref="B154:B155"/>
    <mergeCell ref="G154:G155"/>
    <mergeCell ref="B132:B139"/>
    <mergeCell ref="G132:G139"/>
    <mergeCell ref="B51:B53"/>
    <mergeCell ref="G51:G53"/>
    <mergeCell ref="J81:J116"/>
    <mergeCell ref="K81:K116"/>
    <mergeCell ref="A88:A106"/>
    <mergeCell ref="B88:B89"/>
    <mergeCell ref="G88:G89"/>
    <mergeCell ref="H88:H106"/>
    <mergeCell ref="I88:I106"/>
    <mergeCell ref="B102:B105"/>
    <mergeCell ref="G102:G105"/>
    <mergeCell ref="A107:A110"/>
    <mergeCell ref="H107:H110"/>
    <mergeCell ref="I107:I110"/>
    <mergeCell ref="A111:A116"/>
    <mergeCell ref="B111:B114"/>
    <mergeCell ref="G111:G114"/>
    <mergeCell ref="H111:H116"/>
    <mergeCell ref="I111:I116"/>
    <mergeCell ref="B115:B116"/>
    <mergeCell ref="G115:G116"/>
    <mergeCell ref="B93:B100"/>
    <mergeCell ref="G93:G100"/>
    <mergeCell ref="G82:G85"/>
    <mergeCell ref="A72:A77"/>
    <mergeCell ref="B72:B75"/>
    <mergeCell ref="G72:G75"/>
    <mergeCell ref="H72:H77"/>
    <mergeCell ref="I72:I77"/>
    <mergeCell ref="B76:B77"/>
    <mergeCell ref="G76:G77"/>
    <mergeCell ref="B54:B61"/>
    <mergeCell ref="G54:G61"/>
    <mergeCell ref="I398:I402"/>
    <mergeCell ref="B428:B431"/>
    <mergeCell ref="G428:G431"/>
    <mergeCell ref="H428:H433"/>
    <mergeCell ref="I428:I433"/>
    <mergeCell ref="B268:B271"/>
    <mergeCell ref="B228:B231"/>
    <mergeCell ref="B82:B85"/>
    <mergeCell ref="B205:B206"/>
    <mergeCell ref="G205:G206"/>
    <mergeCell ref="B232:B233"/>
    <mergeCell ref="B370:B377"/>
    <mergeCell ref="G370:G377"/>
    <mergeCell ref="B379:B382"/>
    <mergeCell ref="G379:G382"/>
    <mergeCell ref="H304:H307"/>
    <mergeCell ref="I304:I307"/>
    <mergeCell ref="B287:B289"/>
    <mergeCell ref="G287:G289"/>
    <mergeCell ref="B290:B297"/>
    <mergeCell ref="G290:G297"/>
    <mergeCell ref="B299:B302"/>
    <mergeCell ref="G299:G302"/>
    <mergeCell ref="B210:B217"/>
    <mergeCell ref="J398:J433"/>
    <mergeCell ref="K398:K433"/>
    <mergeCell ref="B399:B402"/>
    <mergeCell ref="G399:G402"/>
    <mergeCell ref="A403:A404"/>
    <mergeCell ref="B403:B404"/>
    <mergeCell ref="G403:G404"/>
    <mergeCell ref="H403:H404"/>
    <mergeCell ref="I403:I404"/>
    <mergeCell ref="A405:A423"/>
    <mergeCell ref="H405:H423"/>
    <mergeCell ref="I405:I423"/>
    <mergeCell ref="B407:B409"/>
    <mergeCell ref="G407:G409"/>
    <mergeCell ref="B410:B417"/>
    <mergeCell ref="G410:G417"/>
    <mergeCell ref="B419:B422"/>
    <mergeCell ref="G419:G422"/>
    <mergeCell ref="A424:A427"/>
    <mergeCell ref="H424:H427"/>
    <mergeCell ref="I424:I427"/>
    <mergeCell ref="A428:A433"/>
    <mergeCell ref="A398:A402"/>
    <mergeCell ref="H398:H402"/>
    <mergeCell ref="A388:A393"/>
    <mergeCell ref="B388:B391"/>
    <mergeCell ref="G388:G391"/>
    <mergeCell ref="H388:H393"/>
    <mergeCell ref="I388:I393"/>
    <mergeCell ref="G396:K396"/>
    <mergeCell ref="C397:D397"/>
    <mergeCell ref="A358:A362"/>
    <mergeCell ref="H358:H362"/>
    <mergeCell ref="I358:I362"/>
    <mergeCell ref="J358:J393"/>
    <mergeCell ref="K358:K393"/>
    <mergeCell ref="B359:B362"/>
    <mergeCell ref="G359:G362"/>
    <mergeCell ref="A363:A364"/>
    <mergeCell ref="B363:B364"/>
    <mergeCell ref="G363:G364"/>
    <mergeCell ref="H363:H364"/>
    <mergeCell ref="I363:I364"/>
    <mergeCell ref="A365:A383"/>
    <mergeCell ref="H365:H383"/>
    <mergeCell ref="I365:I383"/>
    <mergeCell ref="B367:B369"/>
    <mergeCell ref="G367:G369"/>
    <mergeCell ref="A384:A387"/>
    <mergeCell ref="H384:H387"/>
    <mergeCell ref="I384:I387"/>
    <mergeCell ref="A348:A353"/>
    <mergeCell ref="B348:B351"/>
    <mergeCell ref="G348:G351"/>
    <mergeCell ref="H348:H353"/>
    <mergeCell ref="I348:I353"/>
    <mergeCell ref="G356:K356"/>
    <mergeCell ref="C357:D357"/>
    <mergeCell ref="A318:A322"/>
    <mergeCell ref="H318:H322"/>
    <mergeCell ref="I318:I322"/>
    <mergeCell ref="J318:J353"/>
    <mergeCell ref="K318:K353"/>
    <mergeCell ref="B319:B322"/>
    <mergeCell ref="G319:G322"/>
    <mergeCell ref="A323:A324"/>
    <mergeCell ref="B323:B324"/>
    <mergeCell ref="G323:G324"/>
    <mergeCell ref="H323:H324"/>
    <mergeCell ref="I323:I324"/>
    <mergeCell ref="A325:A343"/>
    <mergeCell ref="H325:H343"/>
    <mergeCell ref="I325:I343"/>
    <mergeCell ref="B327:B329"/>
    <mergeCell ref="G327:G329"/>
    <mergeCell ref="B330:B337"/>
    <mergeCell ref="G330:G337"/>
    <mergeCell ref="B339:B342"/>
    <mergeCell ref="G339:G342"/>
    <mergeCell ref="A344:A347"/>
    <mergeCell ref="H344:H347"/>
    <mergeCell ref="I344:I347"/>
    <mergeCell ref="A308:A313"/>
    <mergeCell ref="B308:B311"/>
    <mergeCell ref="G308:G311"/>
    <mergeCell ref="H308:H313"/>
    <mergeCell ref="I308:I313"/>
    <mergeCell ref="G316:K316"/>
    <mergeCell ref="C317:D317"/>
    <mergeCell ref="G276:K276"/>
    <mergeCell ref="C277:D277"/>
    <mergeCell ref="A278:A282"/>
    <mergeCell ref="H278:H282"/>
    <mergeCell ref="I278:I282"/>
    <mergeCell ref="J278:J313"/>
    <mergeCell ref="K278:K313"/>
    <mergeCell ref="B279:B282"/>
    <mergeCell ref="G279:G282"/>
    <mergeCell ref="A283:A284"/>
    <mergeCell ref="B283:B284"/>
    <mergeCell ref="G283:G284"/>
    <mergeCell ref="H283:H284"/>
    <mergeCell ref="I283:I284"/>
    <mergeCell ref="A285:A303"/>
    <mergeCell ref="H285:H303"/>
    <mergeCell ref="I285:I303"/>
    <mergeCell ref="A304:A307"/>
    <mergeCell ref="G247:G249"/>
    <mergeCell ref="I264:I267"/>
    <mergeCell ref="A268:A273"/>
    <mergeCell ref="G268:G271"/>
    <mergeCell ref="H268:H273"/>
    <mergeCell ref="I268:I273"/>
    <mergeCell ref="B250:B257"/>
    <mergeCell ref="G250:G257"/>
    <mergeCell ref="B259:B262"/>
    <mergeCell ref="G259:G262"/>
    <mergeCell ref="A264:A267"/>
    <mergeCell ref="H264:H267"/>
    <mergeCell ref="A238:A242"/>
    <mergeCell ref="H238:H242"/>
    <mergeCell ref="I238:I242"/>
    <mergeCell ref="J238:J273"/>
    <mergeCell ref="K238:K273"/>
    <mergeCell ref="B239:B242"/>
    <mergeCell ref="G239:G242"/>
    <mergeCell ref="A243:A244"/>
    <mergeCell ref="B243:B244"/>
    <mergeCell ref="G243:G244"/>
    <mergeCell ref="H243:H244"/>
    <mergeCell ref="I243:I244"/>
    <mergeCell ref="A245:A263"/>
    <mergeCell ref="H245:H263"/>
    <mergeCell ref="I245:I263"/>
    <mergeCell ref="B247:B249"/>
    <mergeCell ref="A198:A202"/>
    <mergeCell ref="H198:H202"/>
    <mergeCell ref="I198:I202"/>
    <mergeCell ref="J198:J233"/>
    <mergeCell ref="K198:K233"/>
    <mergeCell ref="B199:B202"/>
    <mergeCell ref="G199:G202"/>
    <mergeCell ref="A203:A204"/>
    <mergeCell ref="B203:B204"/>
    <mergeCell ref="G203:G204"/>
    <mergeCell ref="H203:H204"/>
    <mergeCell ref="I203:I204"/>
    <mergeCell ref="A205:A223"/>
    <mergeCell ref="H205:H223"/>
    <mergeCell ref="I205:I223"/>
    <mergeCell ref="B207:B209"/>
    <mergeCell ref="G207:G209"/>
    <mergeCell ref="I224:I227"/>
    <mergeCell ref="A228:A233"/>
    <mergeCell ref="G228:G231"/>
    <mergeCell ref="H228:H233"/>
    <mergeCell ref="I228:I233"/>
    <mergeCell ref="A224:A227"/>
    <mergeCell ref="H224:H227"/>
    <mergeCell ref="G157:K157"/>
    <mergeCell ref="C158:D158"/>
    <mergeCell ref="A159:A163"/>
    <mergeCell ref="H159:H163"/>
    <mergeCell ref="I159:I163"/>
    <mergeCell ref="B160:B163"/>
    <mergeCell ref="G160:G163"/>
    <mergeCell ref="A164:A165"/>
    <mergeCell ref="B164:B165"/>
    <mergeCell ref="G164:G165"/>
    <mergeCell ref="H164:H165"/>
    <mergeCell ref="I164:I165"/>
    <mergeCell ref="G118:K118"/>
    <mergeCell ref="C119:D119"/>
    <mergeCell ref="A120:A124"/>
    <mergeCell ref="H120:H124"/>
    <mergeCell ref="I120:I124"/>
    <mergeCell ref="B121:B124"/>
    <mergeCell ref="G121:G124"/>
    <mergeCell ref="A125:A126"/>
    <mergeCell ref="B125:B126"/>
    <mergeCell ref="G125:G126"/>
    <mergeCell ref="H125:H126"/>
    <mergeCell ref="I125:I126"/>
    <mergeCell ref="J120:J155"/>
    <mergeCell ref="K120:K155"/>
    <mergeCell ref="A127:A145"/>
    <mergeCell ref="B127:B128"/>
    <mergeCell ref="G127:G128"/>
    <mergeCell ref="H127:H145"/>
    <mergeCell ref="I127:I145"/>
    <mergeCell ref="B141:B144"/>
    <mergeCell ref="G141:G144"/>
    <mergeCell ref="A146:A149"/>
    <mergeCell ref="H146:H149"/>
    <mergeCell ref="I146:I149"/>
    <mergeCell ref="G86:G87"/>
    <mergeCell ref="H86:H87"/>
    <mergeCell ref="G79:K79"/>
    <mergeCell ref="C80:D80"/>
    <mergeCell ref="A81:A85"/>
    <mergeCell ref="H81:H85"/>
    <mergeCell ref="I81:I85"/>
    <mergeCell ref="I86:I87"/>
    <mergeCell ref="B90:B92"/>
    <mergeCell ref="G90:G92"/>
    <mergeCell ref="A86:A87"/>
    <mergeCell ref="B86:B87"/>
    <mergeCell ref="G40:K40"/>
    <mergeCell ref="C41:D41"/>
    <mergeCell ref="A42:A46"/>
    <mergeCell ref="H42:H46"/>
    <mergeCell ref="I42:I46"/>
    <mergeCell ref="B43:B46"/>
    <mergeCell ref="G43:G46"/>
    <mergeCell ref="A47:A48"/>
    <mergeCell ref="B47:B48"/>
    <mergeCell ref="G47:G48"/>
    <mergeCell ref="H47:H48"/>
    <mergeCell ref="I47:I48"/>
    <mergeCell ref="J42:J77"/>
    <mergeCell ref="K42:K77"/>
    <mergeCell ref="A49:A67"/>
    <mergeCell ref="B49:B50"/>
    <mergeCell ref="G49:G50"/>
    <mergeCell ref="H49:H67"/>
    <mergeCell ref="I49:I67"/>
    <mergeCell ref="B63:B66"/>
    <mergeCell ref="G63:G66"/>
    <mergeCell ref="A68:A71"/>
    <mergeCell ref="H68:H71"/>
    <mergeCell ref="I68:I71"/>
    <mergeCell ref="A1:F1"/>
    <mergeCell ref="G1:K1"/>
    <mergeCell ref="C2:D2"/>
    <mergeCell ref="A3:A7"/>
    <mergeCell ref="H3:H7"/>
    <mergeCell ref="I3:I7"/>
    <mergeCell ref="B4:B7"/>
    <mergeCell ref="G4:G7"/>
    <mergeCell ref="A8:A9"/>
    <mergeCell ref="B8:B9"/>
    <mergeCell ref="G8:G9"/>
    <mergeCell ref="H8:H9"/>
    <mergeCell ref="I8:I9"/>
    <mergeCell ref="J3:J38"/>
    <mergeCell ref="K3:K38"/>
    <mergeCell ref="A10:A28"/>
    <mergeCell ref="B10:B11"/>
    <mergeCell ref="G10:G11"/>
    <mergeCell ref="H10:H28"/>
    <mergeCell ref="I10:I28"/>
    <mergeCell ref="B24:B27"/>
    <mergeCell ref="G24:G27"/>
    <mergeCell ref="A29:A32"/>
    <mergeCell ref="H29:H32"/>
    <mergeCell ref="I29:I32"/>
    <mergeCell ref="A33:A38"/>
    <mergeCell ref="B33:B36"/>
    <mergeCell ref="G33:G36"/>
    <mergeCell ref="H33:H38"/>
    <mergeCell ref="I33:I38"/>
    <mergeCell ref="B37:B38"/>
    <mergeCell ref="G37:G38"/>
    <mergeCell ref="B12:B14"/>
    <mergeCell ref="G12:G14"/>
    <mergeCell ref="B15:B22"/>
    <mergeCell ref="G15:G22"/>
  </mergeCells>
  <conditionalFormatting sqref="A2:C2 L378:L384 L368:L374 L1:M6 G1 H39:K39 A41:C41 G40 M356:M362 E2:K2 E41:K41 M53:M65 L38:M52 L79:M91 L118:M130 L157:M169 L196:M208 L236:M248 L276:M288 L316:M328 L7:L37 C31:D31 L66:L78 C70:D70 L105:L115 C109:D109 L144:L156 C148:D148 L183:L195 C187:D187 L223:L235 C226:D226 L263:L273 C266:D266 L303:L313 C306:D306 L343:L355 C346:D346 M380:M393 C386:D386 M420:M434 C426:D426 D30 D69 D108 D147 D186 D225 D265 D305 D345 D385 D425">
    <cfRule type="beginsWith" dxfId="1433" priority="3781" stopIfTrue="1" operator="beginsWith" text="Functioning At Risk">
      <formula>LEFT(A1,LEN("Functioning At Risk"))="Functioning At Risk"</formula>
    </cfRule>
    <cfRule type="beginsWith" dxfId="1432" priority="3782" stopIfTrue="1" operator="beginsWith" text="Not Functioning">
      <formula>LEFT(A1,LEN("Not Functioning"))="Not Functioning"</formula>
    </cfRule>
    <cfRule type="containsText" dxfId="1431" priority="3783" operator="containsText" text="Functioning">
      <formula>NOT(ISERROR(SEARCH("Functioning",A1)))</formula>
    </cfRule>
  </conditionalFormatting>
  <conditionalFormatting sqref="A80:C80 G79 E80:K80 M92:M104">
    <cfRule type="beginsWith" dxfId="1430" priority="3384" stopIfTrue="1" operator="beginsWith" text="Functioning At Risk">
      <formula>LEFT(A79,LEN("Functioning At Risk"))="Functioning At Risk"</formula>
    </cfRule>
    <cfRule type="beginsWith" dxfId="1429" priority="3385" stopIfTrue="1" operator="beginsWith" text="Not Functioning">
      <formula>LEFT(A79,LEN("Not Functioning"))="Not Functioning"</formula>
    </cfRule>
    <cfRule type="containsText" dxfId="1428" priority="3386" operator="containsText" text="Functioning">
      <formula>NOT(ISERROR(SEARCH("Functioning",A79)))</formula>
    </cfRule>
  </conditionalFormatting>
  <conditionalFormatting sqref="A197:C197 G196 E197:K197 M209:M222">
    <cfRule type="beginsWith" dxfId="1427" priority="3069" stopIfTrue="1" operator="beginsWith" text="Functioning At Risk">
      <formula>LEFT(A196,LEN("Functioning At Risk"))="Functioning At Risk"</formula>
    </cfRule>
    <cfRule type="beginsWith" dxfId="1426" priority="3070" stopIfTrue="1" operator="beginsWith" text="Not Functioning">
      <formula>LEFT(A196,LEN("Not Functioning"))="Not Functioning"</formula>
    </cfRule>
    <cfRule type="containsText" dxfId="1425" priority="3071" operator="containsText" text="Functioning">
      <formula>NOT(ISERROR(SEARCH("Functioning",A196)))</formula>
    </cfRule>
  </conditionalFormatting>
  <conditionalFormatting sqref="L116:L117">
    <cfRule type="beginsWith" dxfId="1424" priority="3280" stopIfTrue="1" operator="beginsWith" text="Functioning At Risk">
      <formula>LEFT(L116,LEN("Functioning At Risk"))="Functioning At Risk"</formula>
    </cfRule>
    <cfRule type="beginsWith" dxfId="1423" priority="3281" stopIfTrue="1" operator="beginsWith" text="Not Functioning">
      <formula>LEFT(L116,LEN("Not Functioning"))="Not Functioning"</formula>
    </cfRule>
    <cfRule type="containsText" dxfId="1422" priority="3282" operator="containsText" text="Functioning">
      <formula>NOT(ISERROR(SEARCH("Functioning",L116)))</formula>
    </cfRule>
  </conditionalFormatting>
  <conditionalFormatting sqref="A119:C119 G118 E119:K119 M131:M143">
    <cfRule type="beginsWith" dxfId="1421" priority="3277" stopIfTrue="1" operator="beginsWith" text="Functioning At Risk">
      <formula>LEFT(A118,LEN("Functioning At Risk"))="Functioning At Risk"</formula>
    </cfRule>
    <cfRule type="beginsWith" dxfId="1420" priority="3278" stopIfTrue="1" operator="beginsWith" text="Not Functioning">
      <formula>LEFT(A118,LEN("Not Functioning"))="Not Functioning"</formula>
    </cfRule>
    <cfRule type="containsText" dxfId="1419" priority="3279" operator="containsText" text="Functioning">
      <formula>NOT(ISERROR(SEARCH("Functioning",A118)))</formula>
    </cfRule>
  </conditionalFormatting>
  <conditionalFormatting sqref="A158:C158 G157 E158:K158 M170:M182">
    <cfRule type="beginsWith" dxfId="1418" priority="3173" stopIfTrue="1" operator="beginsWith" text="Functioning At Risk">
      <formula>LEFT(A157,LEN("Functioning At Risk"))="Functioning At Risk"</formula>
    </cfRule>
    <cfRule type="beginsWith" dxfId="1417" priority="3174" stopIfTrue="1" operator="beginsWith" text="Not Functioning">
      <formula>LEFT(A157,LEN("Not Functioning"))="Not Functioning"</formula>
    </cfRule>
    <cfRule type="containsText" dxfId="1416" priority="3175" operator="containsText" text="Functioning">
      <formula>NOT(ISERROR(SEARCH("Functioning",A157)))</formula>
    </cfRule>
  </conditionalFormatting>
  <conditionalFormatting sqref="A237:C237 G236 E237:K237 M249:M262">
    <cfRule type="beginsWith" dxfId="1415" priority="2965" stopIfTrue="1" operator="beginsWith" text="Functioning At Risk">
      <formula>LEFT(A236,LEN("Functioning At Risk"))="Functioning At Risk"</formula>
    </cfRule>
    <cfRule type="beginsWith" dxfId="1414" priority="2966" stopIfTrue="1" operator="beginsWith" text="Not Functioning">
      <formula>LEFT(A236,LEN("Not Functioning"))="Not Functioning"</formula>
    </cfRule>
    <cfRule type="containsText" dxfId="1413" priority="2967" operator="containsText" text="Functioning">
      <formula>NOT(ISERROR(SEARCH("Functioning",A236)))</formula>
    </cfRule>
  </conditionalFormatting>
  <conditionalFormatting sqref="L274:L275">
    <cfRule type="beginsWith" dxfId="1412" priority="2861" stopIfTrue="1" operator="beginsWith" text="Functioning At Risk">
      <formula>LEFT(L274,LEN("Functioning At Risk"))="Functioning At Risk"</formula>
    </cfRule>
    <cfRule type="beginsWith" dxfId="1411" priority="2862" stopIfTrue="1" operator="beginsWith" text="Not Functioning">
      <formula>LEFT(L274,LEN("Not Functioning"))="Not Functioning"</formula>
    </cfRule>
    <cfRule type="containsText" dxfId="1410" priority="2863" operator="containsText" text="Functioning">
      <formula>NOT(ISERROR(SEARCH("Functioning",L274)))</formula>
    </cfRule>
  </conditionalFormatting>
  <conditionalFormatting sqref="A277:C277 G276 E277:K277 M289:M302">
    <cfRule type="beginsWith" dxfId="1409" priority="2858" stopIfTrue="1" operator="beginsWith" text="Functioning At Risk">
      <formula>LEFT(A276,LEN("Functioning At Risk"))="Functioning At Risk"</formula>
    </cfRule>
    <cfRule type="beginsWith" dxfId="1408" priority="2859" stopIfTrue="1" operator="beginsWith" text="Not Functioning">
      <formula>LEFT(A276,LEN("Not Functioning"))="Not Functioning"</formula>
    </cfRule>
    <cfRule type="containsText" dxfId="1407" priority="2860" operator="containsText" text="Functioning">
      <formula>NOT(ISERROR(SEARCH("Functioning",A276)))</formula>
    </cfRule>
  </conditionalFormatting>
  <conditionalFormatting sqref="L314:L315">
    <cfRule type="beginsWith" dxfId="1406" priority="2754" stopIfTrue="1" operator="beginsWith" text="Functioning At Risk">
      <formula>LEFT(L314,LEN("Functioning At Risk"))="Functioning At Risk"</formula>
    </cfRule>
    <cfRule type="beginsWith" dxfId="1405" priority="2755" stopIfTrue="1" operator="beginsWith" text="Not Functioning">
      <formula>LEFT(L314,LEN("Not Functioning"))="Not Functioning"</formula>
    </cfRule>
    <cfRule type="containsText" dxfId="1404" priority="2756" operator="containsText" text="Functioning">
      <formula>NOT(ISERROR(SEARCH("Functioning",L314)))</formula>
    </cfRule>
  </conditionalFormatting>
  <conditionalFormatting sqref="A317:C317 G316 E317:K317 M329:M342">
    <cfRule type="beginsWith" dxfId="1403" priority="2751" stopIfTrue="1" operator="beginsWith" text="Functioning At Risk">
      <formula>LEFT(A316,LEN("Functioning At Risk"))="Functioning At Risk"</formula>
    </cfRule>
    <cfRule type="beginsWith" dxfId="1402" priority="2752" stopIfTrue="1" operator="beginsWith" text="Not Functioning">
      <formula>LEFT(A316,LEN("Not Functioning"))="Not Functioning"</formula>
    </cfRule>
    <cfRule type="containsText" dxfId="1401" priority="2753" operator="containsText" text="Functioning">
      <formula>NOT(ISERROR(SEARCH("Functioning",A316)))</formula>
    </cfRule>
  </conditionalFormatting>
  <conditionalFormatting sqref="A357:C357 G356 E357:K357">
    <cfRule type="beginsWith" dxfId="1400" priority="2647" stopIfTrue="1" operator="beginsWith" text="Functioning At Risk">
      <formula>LEFT(A356,LEN("Functioning At Risk"))="Functioning At Risk"</formula>
    </cfRule>
    <cfRule type="beginsWith" dxfId="1399" priority="2648" stopIfTrue="1" operator="beginsWith" text="Not Functioning">
      <formula>LEFT(A356,LEN("Not Functioning"))="Not Functioning"</formula>
    </cfRule>
    <cfRule type="containsText" dxfId="1398" priority="2649" operator="containsText" text="Functioning">
      <formula>NOT(ISERROR(SEARCH("Functioning",A356)))</formula>
    </cfRule>
  </conditionalFormatting>
  <conditionalFormatting sqref="L418:L424 L408:L414 M396:M402 L394:L395">
    <cfRule type="beginsWith" dxfId="1397" priority="2543" stopIfTrue="1" operator="beginsWith" text="Functioning At Risk">
      <formula>LEFT(L394,LEN("Functioning At Risk"))="Functioning At Risk"</formula>
    </cfRule>
    <cfRule type="beginsWith" dxfId="1396" priority="2544" stopIfTrue="1" operator="beginsWith" text="Not Functioning">
      <formula>LEFT(L394,LEN("Not Functioning"))="Not Functioning"</formula>
    </cfRule>
    <cfRule type="containsText" dxfId="1395" priority="2545" operator="containsText" text="Functioning">
      <formula>NOT(ISERROR(SEARCH("Functioning",L394)))</formula>
    </cfRule>
  </conditionalFormatting>
  <conditionalFormatting sqref="A397:C397 G396 E397:K397">
    <cfRule type="beginsWith" dxfId="1394" priority="2540" stopIfTrue="1" operator="beginsWith" text="Functioning At Risk">
      <formula>LEFT(A396,LEN("Functioning At Risk"))="Functioning At Risk"</formula>
    </cfRule>
    <cfRule type="beginsWith" dxfId="1393" priority="2541" stopIfTrue="1" operator="beginsWith" text="Not Functioning">
      <formula>LEFT(A396,LEN("Not Functioning"))="Not Functioning"</formula>
    </cfRule>
    <cfRule type="containsText" dxfId="1392" priority="2542" operator="containsText" text="Functioning">
      <formula>NOT(ISERROR(SEARCH("Functioning",A396)))</formula>
    </cfRule>
  </conditionalFormatting>
  <conditionalFormatting sqref="I33:I37 B31:B32 D21 B24 A8:B8 F28 F25 A33:B35 H10:I11 H8:I8 H3:K6 A10:B10 A36:A37 F13 D15:D17 F15:F17 B28:B29 A11 F8:F11 D33:D36 D8:D13 D24:D28">
    <cfRule type="beginsWith" dxfId="1391" priority="2340" stopIfTrue="1" operator="beginsWith" text="Functioning At Risk">
      <formula>LEFT(A3,LEN("Functioning At Risk"))="Functioning At Risk"</formula>
    </cfRule>
    <cfRule type="beginsWith" dxfId="1390" priority="2341" stopIfTrue="1" operator="beginsWith" text="Not Functioning">
      <formula>LEFT(A3,LEN("Not Functioning"))="Not Functioning"</formula>
    </cfRule>
    <cfRule type="containsText" dxfId="1389" priority="2342" operator="containsText" text="Functioning">
      <formula>NOT(ISERROR(SEARCH("Functioning",A3)))</formula>
    </cfRule>
  </conditionalFormatting>
  <conditionalFormatting sqref="B12">
    <cfRule type="beginsWith" dxfId="1388" priority="2337" stopIfTrue="1" operator="beginsWith" text="Functioning At Risk">
      <formula>LEFT(B12,LEN("Functioning At Risk"))="Functioning At Risk"</formula>
    </cfRule>
    <cfRule type="beginsWith" dxfId="1387" priority="2338" stopIfTrue="1" operator="beginsWith" text="Not Functioning">
      <formula>LEFT(B12,LEN("Not Functioning"))="Not Functioning"</formula>
    </cfRule>
    <cfRule type="containsText" dxfId="1386" priority="2339" operator="containsText" text="Functioning">
      <formula>NOT(ISERROR(SEARCH("Functioning",B12)))</formula>
    </cfRule>
  </conditionalFormatting>
  <conditionalFormatting sqref="D18">
    <cfRule type="beginsWith" dxfId="1385" priority="2334" stopIfTrue="1" operator="beginsWith" text="Functioning At Risk">
      <formula>LEFT(D18,LEN("Functioning At Risk"))="Functioning At Risk"</formula>
    </cfRule>
    <cfRule type="beginsWith" dxfId="1384" priority="2335" stopIfTrue="1" operator="beginsWith" text="Not Functioning">
      <formula>LEFT(D18,LEN("Not Functioning"))="Not Functioning"</formula>
    </cfRule>
    <cfRule type="containsText" dxfId="1383" priority="2336" operator="containsText" text="Functioning">
      <formula>NOT(ISERROR(SEARCH("Functioning",D18)))</formula>
    </cfRule>
  </conditionalFormatting>
  <conditionalFormatting sqref="D22">
    <cfRule type="beginsWith" dxfId="1382" priority="2331" stopIfTrue="1" operator="beginsWith" text="Functioning At Risk">
      <formula>LEFT(D22,LEN("Functioning At Risk"))="Functioning At Risk"</formula>
    </cfRule>
    <cfRule type="beginsWith" dxfId="1381" priority="2332" stopIfTrue="1" operator="beginsWith" text="Not Functioning">
      <formula>LEFT(D22,LEN("Not Functioning"))="Not Functioning"</formula>
    </cfRule>
    <cfRule type="containsText" dxfId="1380" priority="2333" operator="containsText" text="Functioning">
      <formula>NOT(ISERROR(SEARCH("Functioning",D22)))</formula>
    </cfRule>
  </conditionalFormatting>
  <conditionalFormatting sqref="D23">
    <cfRule type="beginsWith" dxfId="1379" priority="2328" stopIfTrue="1" operator="beginsWith" text="Functioning At Risk">
      <formula>LEFT(D23,LEN("Functioning At Risk"))="Functioning At Risk"</formula>
    </cfRule>
    <cfRule type="beginsWith" dxfId="1378" priority="2329" stopIfTrue="1" operator="beginsWith" text="Not Functioning">
      <formula>LEFT(D23,LEN("Not Functioning"))="Not Functioning"</formula>
    </cfRule>
    <cfRule type="containsText" dxfId="1377" priority="2330" operator="containsText" text="Functioning">
      <formula>NOT(ISERROR(SEARCH("Functioning",D23)))</formula>
    </cfRule>
  </conditionalFormatting>
  <conditionalFormatting sqref="F18">
    <cfRule type="beginsWith" dxfId="1376" priority="2325" stopIfTrue="1" operator="beginsWith" text="Functioning At Risk">
      <formula>LEFT(F18,LEN("Functioning At Risk"))="Functioning At Risk"</formula>
    </cfRule>
    <cfRule type="beginsWith" dxfId="1375" priority="2326" stopIfTrue="1" operator="beginsWith" text="Not Functioning">
      <formula>LEFT(F18,LEN("Not Functioning"))="Not Functioning"</formula>
    </cfRule>
    <cfRule type="containsText" dxfId="1374" priority="2327" operator="containsText" text="Functioning">
      <formula>NOT(ISERROR(SEARCH("Functioning",F18)))</formula>
    </cfRule>
  </conditionalFormatting>
  <conditionalFormatting sqref="D19:D20 F19:F20">
    <cfRule type="beginsWith" dxfId="1373" priority="2304" stopIfTrue="1" operator="beginsWith" text="Functioning At Risk">
      <formula>LEFT(D19,LEN("Functioning At Risk"))="Functioning At Risk"</formula>
    </cfRule>
    <cfRule type="beginsWith" dxfId="1372" priority="2305" stopIfTrue="1" operator="beginsWith" text="Not Functioning">
      <formula>LEFT(D19,LEN("Not Functioning"))="Not Functioning"</formula>
    </cfRule>
    <cfRule type="containsText" dxfId="1371" priority="2306" operator="containsText" text="Functioning">
      <formula>NOT(ISERROR(SEARCH("Functioning",D19)))</formula>
    </cfRule>
  </conditionalFormatting>
  <conditionalFormatting sqref="A29">
    <cfRule type="beginsWith" dxfId="1370" priority="2295" stopIfTrue="1" operator="beginsWith" text="Functioning At Risk">
      <formula>LEFT(A29,LEN("Functioning At Risk"))="Functioning At Risk"</formula>
    </cfRule>
    <cfRule type="beginsWith" dxfId="1369" priority="2296" stopIfTrue="1" operator="beginsWith" text="Not Functioning">
      <formula>LEFT(A29,LEN("Not Functioning"))="Not Functioning"</formula>
    </cfRule>
    <cfRule type="containsText" dxfId="1368" priority="2297" operator="containsText" text="Functioning">
      <formula>NOT(ISERROR(SEARCH("Functioning",A29)))</formula>
    </cfRule>
  </conditionalFormatting>
  <conditionalFormatting sqref="H29">
    <cfRule type="beginsWith" dxfId="1367" priority="2292" stopIfTrue="1" operator="beginsWith" text="Functioning At Risk">
      <formula>LEFT(H29,LEN("Functioning At Risk"))="Functioning At Risk"</formula>
    </cfRule>
    <cfRule type="beginsWith" dxfId="1366" priority="2293" stopIfTrue="1" operator="beginsWith" text="Not Functioning">
      <formula>LEFT(H29,LEN("Not Functioning"))="Not Functioning"</formula>
    </cfRule>
    <cfRule type="containsText" dxfId="1365" priority="2294" operator="containsText" text="Functioning">
      <formula>NOT(ISERROR(SEARCH("Functioning",H29)))</formula>
    </cfRule>
  </conditionalFormatting>
  <conditionalFormatting sqref="I29">
    <cfRule type="beginsWith" dxfId="1364" priority="2289" stopIfTrue="1" operator="beginsWith" text="Functioning At Risk">
      <formula>LEFT(I29,LEN("Functioning At Risk"))="Functioning At Risk"</formula>
    </cfRule>
    <cfRule type="beginsWith" dxfId="1363" priority="2290" stopIfTrue="1" operator="beginsWith" text="Not Functioning">
      <formula>LEFT(I29,LEN("Not Functioning"))="Not Functioning"</formula>
    </cfRule>
    <cfRule type="containsText" dxfId="1362" priority="2291" operator="containsText" text="Functioning">
      <formula>NOT(ISERROR(SEARCH("Functioning",I29)))</formula>
    </cfRule>
  </conditionalFormatting>
  <conditionalFormatting sqref="D37">
    <cfRule type="beginsWith" dxfId="1361" priority="2285" stopIfTrue="1" operator="beginsWith" text="Functioning At Risk">
      <formula>LEFT(D37,LEN("Functioning At Risk"))="Functioning At Risk"</formula>
    </cfRule>
    <cfRule type="beginsWith" dxfId="1360" priority="2286" stopIfTrue="1" operator="beginsWith" text="Not Functioning">
      <formula>LEFT(D37,LEN("Not Functioning"))="Not Functioning"</formula>
    </cfRule>
    <cfRule type="containsText" dxfId="1359" priority="2287" operator="containsText" text="Functioning">
      <formula>NOT(ISERROR(SEARCH("Functioning",D37)))</formula>
    </cfRule>
  </conditionalFormatting>
  <conditionalFormatting sqref="D38">
    <cfRule type="beginsWith" dxfId="1358" priority="2282" stopIfTrue="1" operator="beginsWith" text="Functioning At Risk">
      <formula>LEFT(D38,LEN("Functioning At Risk"))="Functioning At Risk"</formula>
    </cfRule>
    <cfRule type="beginsWith" dxfId="1357" priority="2283" stopIfTrue="1" operator="beginsWith" text="Not Functioning">
      <formula>LEFT(D38,LEN("Not Functioning"))="Not Functioning"</formula>
    </cfRule>
    <cfRule type="containsText" dxfId="1356" priority="2284" operator="containsText" text="Functioning">
      <formula>NOT(ISERROR(SEARCH("Functioning",D38)))</formula>
    </cfRule>
  </conditionalFormatting>
  <conditionalFormatting sqref="B37">
    <cfRule type="beginsWith" dxfId="1355" priority="2279" stopIfTrue="1" operator="beginsWith" text="Functioning At Risk">
      <formula>LEFT(B37,LEN("Functioning At Risk"))="Functioning At Risk"</formula>
    </cfRule>
    <cfRule type="beginsWith" dxfId="1354" priority="2280" stopIfTrue="1" operator="beginsWith" text="Not Functioning">
      <formula>LEFT(B37,LEN("Not Functioning"))="Not Functioning"</formula>
    </cfRule>
    <cfRule type="containsText" dxfId="1353" priority="2281" operator="containsText" text="Functioning">
      <formula>NOT(ISERROR(SEARCH("Functioning",B37)))</formula>
    </cfRule>
  </conditionalFormatting>
  <conditionalFormatting sqref="F37:F38">
    <cfRule type="beginsWith" dxfId="1352" priority="2269" stopIfTrue="1" operator="beginsWith" text="Functioning At Risk">
      <formula>LEFT(F37,LEN("Functioning At Risk"))="Functioning At Risk"</formula>
    </cfRule>
    <cfRule type="beginsWith" dxfId="1351" priority="2270" stopIfTrue="1" operator="beginsWith" text="Not Functioning">
      <formula>LEFT(F37,LEN("Not Functioning"))="Not Functioning"</formula>
    </cfRule>
    <cfRule type="containsText" dxfId="1350" priority="2271" operator="containsText" text="Functioning">
      <formula>NOT(ISERROR(SEARCH("Functioning",F37)))</formula>
    </cfRule>
  </conditionalFormatting>
  <conditionalFormatting sqref="F174">
    <cfRule type="beginsWith" dxfId="1349" priority="1969" stopIfTrue="1" operator="beginsWith" text="Functioning At Risk">
      <formula>LEFT(F174,LEN("Functioning At Risk"))="Functioning At Risk"</formula>
    </cfRule>
    <cfRule type="beginsWith" dxfId="1348" priority="1970" stopIfTrue="1" operator="beginsWith" text="Not Functioning">
      <formula>LEFT(F174,LEN("Not Functioning"))="Not Functioning"</formula>
    </cfRule>
    <cfRule type="containsText" dxfId="1347" priority="1971" operator="containsText" text="Functioning">
      <formula>NOT(ISERROR(SEARCH("Functioning",F174)))</formula>
    </cfRule>
  </conditionalFormatting>
  <conditionalFormatting sqref="B15">
    <cfRule type="beginsWith" dxfId="1346" priority="2260" stopIfTrue="1" operator="beginsWith" text="Functioning At Risk">
      <formula>LEFT(B15,LEN("Functioning At Risk"))="Functioning At Risk"</formula>
    </cfRule>
    <cfRule type="beginsWith" dxfId="1345" priority="2261" stopIfTrue="1" operator="beginsWith" text="Not Functioning">
      <formula>LEFT(B15,LEN("Not Functioning"))="Not Functioning"</formula>
    </cfRule>
    <cfRule type="containsText" dxfId="1344" priority="2262" operator="containsText" text="Functioning">
      <formula>NOT(ISERROR(SEARCH("Functioning",B15)))</formula>
    </cfRule>
  </conditionalFormatting>
  <conditionalFormatting sqref="F33:F36">
    <cfRule type="beginsWith" dxfId="1343" priority="2257" stopIfTrue="1" operator="beginsWith" text="Functioning At Risk">
      <formula>LEFT(F33,LEN("Functioning At Risk"))="Functioning At Risk"</formula>
    </cfRule>
    <cfRule type="beginsWith" dxfId="1342" priority="2258" stopIfTrue="1" operator="beginsWith" text="Not Functioning">
      <formula>LEFT(F33,LEN("Not Functioning"))="Not Functioning"</formula>
    </cfRule>
    <cfRule type="containsText" dxfId="1341" priority="2259" operator="containsText" text="Functioning">
      <formula>NOT(ISERROR(SEARCH("Functioning",F33)))</formula>
    </cfRule>
  </conditionalFormatting>
  <conditionalFormatting sqref="I72:I76 B70:B71 D60 B63 A47:B47 F67 F64 H49:I50 H47:I47 H42:K45 A49:B49 A72:A76 F52 D54:D56 F54:F56 B67:B68 A50 F47 F49:F50 D72:D75 D47:D52 D63:D67">
    <cfRule type="beginsWith" dxfId="1340" priority="2251" stopIfTrue="1" operator="beginsWith" text="Functioning At Risk">
      <formula>LEFT(A42,LEN("Functioning At Risk"))="Functioning At Risk"</formula>
    </cfRule>
    <cfRule type="beginsWith" dxfId="1339" priority="2252" stopIfTrue="1" operator="beginsWith" text="Not Functioning">
      <formula>LEFT(A42,LEN("Not Functioning"))="Not Functioning"</formula>
    </cfRule>
    <cfRule type="containsText" dxfId="1338" priority="2253" operator="containsText" text="Functioning">
      <formula>NOT(ISERROR(SEARCH("Functioning",A42)))</formula>
    </cfRule>
  </conditionalFormatting>
  <conditionalFormatting sqref="B51">
    <cfRule type="beginsWith" dxfId="1337" priority="2248" stopIfTrue="1" operator="beginsWith" text="Functioning At Risk">
      <formula>LEFT(B51,LEN("Functioning At Risk"))="Functioning At Risk"</formula>
    </cfRule>
    <cfRule type="beginsWith" dxfId="1336" priority="2249" stopIfTrue="1" operator="beginsWith" text="Not Functioning">
      <formula>LEFT(B51,LEN("Not Functioning"))="Not Functioning"</formula>
    </cfRule>
    <cfRule type="containsText" dxfId="1335" priority="2250" operator="containsText" text="Functioning">
      <formula>NOT(ISERROR(SEARCH("Functioning",B51)))</formula>
    </cfRule>
  </conditionalFormatting>
  <conditionalFormatting sqref="D57">
    <cfRule type="beginsWith" dxfId="1334" priority="2245" stopIfTrue="1" operator="beginsWith" text="Functioning At Risk">
      <formula>LEFT(D57,LEN("Functioning At Risk"))="Functioning At Risk"</formula>
    </cfRule>
    <cfRule type="beginsWith" dxfId="1333" priority="2246" stopIfTrue="1" operator="beginsWith" text="Not Functioning">
      <formula>LEFT(D57,LEN("Not Functioning"))="Not Functioning"</formula>
    </cfRule>
    <cfRule type="containsText" dxfId="1332" priority="2247" operator="containsText" text="Functioning">
      <formula>NOT(ISERROR(SEARCH("Functioning",D57)))</formula>
    </cfRule>
  </conditionalFormatting>
  <conditionalFormatting sqref="D61">
    <cfRule type="beginsWith" dxfId="1331" priority="2242" stopIfTrue="1" operator="beginsWith" text="Functioning At Risk">
      <formula>LEFT(D61,LEN("Functioning At Risk"))="Functioning At Risk"</formula>
    </cfRule>
    <cfRule type="beginsWith" dxfId="1330" priority="2243" stopIfTrue="1" operator="beginsWith" text="Not Functioning">
      <formula>LEFT(D61,LEN("Not Functioning"))="Not Functioning"</formula>
    </cfRule>
    <cfRule type="containsText" dxfId="1329" priority="2244" operator="containsText" text="Functioning">
      <formula>NOT(ISERROR(SEARCH("Functioning",D61)))</formula>
    </cfRule>
  </conditionalFormatting>
  <conditionalFormatting sqref="D62">
    <cfRule type="beginsWith" dxfId="1328" priority="2239" stopIfTrue="1" operator="beginsWith" text="Functioning At Risk">
      <formula>LEFT(D62,LEN("Functioning At Risk"))="Functioning At Risk"</formula>
    </cfRule>
    <cfRule type="beginsWith" dxfId="1327" priority="2240" stopIfTrue="1" operator="beginsWith" text="Not Functioning">
      <formula>LEFT(D62,LEN("Not Functioning"))="Not Functioning"</formula>
    </cfRule>
    <cfRule type="containsText" dxfId="1326" priority="2241" operator="containsText" text="Functioning">
      <formula>NOT(ISERROR(SEARCH("Functioning",D62)))</formula>
    </cfRule>
  </conditionalFormatting>
  <conditionalFormatting sqref="F57">
    <cfRule type="beginsWith" dxfId="1325" priority="2236" stopIfTrue="1" operator="beginsWith" text="Functioning At Risk">
      <formula>LEFT(F57,LEN("Functioning At Risk"))="Functioning At Risk"</formula>
    </cfRule>
    <cfRule type="beginsWith" dxfId="1324" priority="2237" stopIfTrue="1" operator="beginsWith" text="Not Functioning">
      <formula>LEFT(F57,LEN("Not Functioning"))="Not Functioning"</formula>
    </cfRule>
    <cfRule type="containsText" dxfId="1323" priority="2238" operator="containsText" text="Functioning">
      <formula>NOT(ISERROR(SEARCH("Functioning",F57)))</formula>
    </cfRule>
  </conditionalFormatting>
  <conditionalFormatting sqref="D58:D59 F58:F59">
    <cfRule type="beginsWith" dxfId="1322" priority="2215" stopIfTrue="1" operator="beginsWith" text="Functioning At Risk">
      <formula>LEFT(D58,LEN("Functioning At Risk"))="Functioning At Risk"</formula>
    </cfRule>
    <cfRule type="beginsWith" dxfId="1321" priority="2216" stopIfTrue="1" operator="beginsWith" text="Not Functioning">
      <formula>LEFT(D58,LEN("Not Functioning"))="Not Functioning"</formula>
    </cfRule>
    <cfRule type="containsText" dxfId="1320" priority="2217" operator="containsText" text="Functioning">
      <formula>NOT(ISERROR(SEARCH("Functioning",D58)))</formula>
    </cfRule>
  </conditionalFormatting>
  <conditionalFormatting sqref="A185">
    <cfRule type="beginsWith" dxfId="1319" priority="1939" stopIfTrue="1" operator="beginsWith" text="Functioning At Risk">
      <formula>LEFT(A185,LEN("Functioning At Risk"))="Functioning At Risk"</formula>
    </cfRule>
    <cfRule type="beginsWith" dxfId="1318" priority="1940" stopIfTrue="1" operator="beginsWith" text="Not Functioning">
      <formula>LEFT(A185,LEN("Not Functioning"))="Not Functioning"</formula>
    </cfRule>
    <cfRule type="containsText" dxfId="1317" priority="1941" operator="containsText" text="Functioning">
      <formula>NOT(ISERROR(SEARCH("Functioning",A185)))</formula>
    </cfRule>
  </conditionalFormatting>
  <conditionalFormatting sqref="A68">
    <cfRule type="beginsWith" dxfId="1316" priority="2206" stopIfTrue="1" operator="beginsWith" text="Functioning At Risk">
      <formula>LEFT(A68,LEN("Functioning At Risk"))="Functioning At Risk"</formula>
    </cfRule>
    <cfRule type="beginsWith" dxfId="1315" priority="2207" stopIfTrue="1" operator="beginsWith" text="Not Functioning">
      <formula>LEFT(A68,LEN("Not Functioning"))="Not Functioning"</formula>
    </cfRule>
    <cfRule type="containsText" dxfId="1314" priority="2208" operator="containsText" text="Functioning">
      <formula>NOT(ISERROR(SEARCH("Functioning",A68)))</formula>
    </cfRule>
  </conditionalFormatting>
  <conditionalFormatting sqref="H68">
    <cfRule type="beginsWith" dxfId="1313" priority="2203" stopIfTrue="1" operator="beginsWith" text="Functioning At Risk">
      <formula>LEFT(H68,LEN("Functioning At Risk"))="Functioning At Risk"</formula>
    </cfRule>
    <cfRule type="beginsWith" dxfId="1312" priority="2204" stopIfTrue="1" operator="beginsWith" text="Not Functioning">
      <formula>LEFT(H68,LEN("Not Functioning"))="Not Functioning"</formula>
    </cfRule>
    <cfRule type="containsText" dxfId="1311" priority="2205" operator="containsText" text="Functioning">
      <formula>NOT(ISERROR(SEARCH("Functioning",H68)))</formula>
    </cfRule>
  </conditionalFormatting>
  <conditionalFormatting sqref="I68">
    <cfRule type="beginsWith" dxfId="1310" priority="2200" stopIfTrue="1" operator="beginsWith" text="Functioning At Risk">
      <formula>LEFT(I68,LEN("Functioning At Risk"))="Functioning At Risk"</formula>
    </cfRule>
    <cfRule type="beginsWith" dxfId="1309" priority="2201" stopIfTrue="1" operator="beginsWith" text="Not Functioning">
      <formula>LEFT(I68,LEN("Not Functioning"))="Not Functioning"</formula>
    </cfRule>
    <cfRule type="containsText" dxfId="1308" priority="2202" operator="containsText" text="Functioning">
      <formula>NOT(ISERROR(SEARCH("Functioning",I68)))</formula>
    </cfRule>
  </conditionalFormatting>
  <conditionalFormatting sqref="D76">
    <cfRule type="beginsWith" dxfId="1307" priority="2196" stopIfTrue="1" operator="beginsWith" text="Functioning At Risk">
      <formula>LEFT(D76,LEN("Functioning At Risk"))="Functioning At Risk"</formula>
    </cfRule>
    <cfRule type="beginsWith" dxfId="1306" priority="2197" stopIfTrue="1" operator="beginsWith" text="Not Functioning">
      <formula>LEFT(D76,LEN("Not Functioning"))="Not Functioning"</formula>
    </cfRule>
    <cfRule type="containsText" dxfId="1305" priority="2198" operator="containsText" text="Functioning">
      <formula>NOT(ISERROR(SEARCH("Functioning",D76)))</formula>
    </cfRule>
  </conditionalFormatting>
  <conditionalFormatting sqref="D77">
    <cfRule type="beginsWith" dxfId="1304" priority="2193" stopIfTrue="1" operator="beginsWith" text="Functioning At Risk">
      <formula>LEFT(D77,LEN("Functioning At Risk"))="Functioning At Risk"</formula>
    </cfRule>
    <cfRule type="beginsWith" dxfId="1303" priority="2194" stopIfTrue="1" operator="beginsWith" text="Not Functioning">
      <formula>LEFT(D77,LEN("Not Functioning"))="Not Functioning"</formula>
    </cfRule>
    <cfRule type="containsText" dxfId="1302" priority="2195" operator="containsText" text="Functioning">
      <formula>NOT(ISERROR(SEARCH("Functioning",D77)))</formula>
    </cfRule>
  </conditionalFormatting>
  <conditionalFormatting sqref="B76">
    <cfRule type="beginsWith" dxfId="1301" priority="2190" stopIfTrue="1" operator="beginsWith" text="Functioning At Risk">
      <formula>LEFT(B76,LEN("Functioning At Risk"))="Functioning At Risk"</formula>
    </cfRule>
    <cfRule type="beginsWith" dxfId="1300" priority="2191" stopIfTrue="1" operator="beginsWith" text="Not Functioning">
      <formula>LEFT(B76,LEN("Not Functioning"))="Not Functioning"</formula>
    </cfRule>
    <cfRule type="containsText" dxfId="1299" priority="2192" operator="containsText" text="Functioning">
      <formula>NOT(ISERROR(SEARCH("Functioning",B76)))</formula>
    </cfRule>
  </conditionalFormatting>
  <conditionalFormatting sqref="F76:F77">
    <cfRule type="beginsWith" dxfId="1298" priority="2180" stopIfTrue="1" operator="beginsWith" text="Functioning At Risk">
      <formula>LEFT(F76,LEN("Functioning At Risk"))="Functioning At Risk"</formula>
    </cfRule>
    <cfRule type="beginsWith" dxfId="1297" priority="2181" stopIfTrue="1" operator="beginsWith" text="Not Functioning">
      <formula>LEFT(F76,LEN("Not Functioning"))="Not Functioning"</formula>
    </cfRule>
    <cfRule type="containsText" dxfId="1296" priority="2182" operator="containsText" text="Functioning">
      <formula>NOT(ISERROR(SEARCH("Functioning",F76)))</formula>
    </cfRule>
  </conditionalFormatting>
  <conditionalFormatting sqref="B171">
    <cfRule type="beginsWith" dxfId="1295" priority="1904" stopIfTrue="1" operator="beginsWith" text="Functioning At Risk">
      <formula>LEFT(B171,LEN("Functioning At Risk"))="Functioning At Risk"</formula>
    </cfRule>
    <cfRule type="beginsWith" dxfId="1294" priority="1905" stopIfTrue="1" operator="beginsWith" text="Not Functioning">
      <formula>LEFT(B171,LEN("Not Functioning"))="Not Functioning"</formula>
    </cfRule>
    <cfRule type="containsText" dxfId="1293" priority="1906" operator="containsText" text="Functioning">
      <formula>NOT(ISERROR(SEARCH("Functioning",B171)))</formula>
    </cfRule>
  </conditionalFormatting>
  <conditionalFormatting sqref="B54">
    <cfRule type="beginsWith" dxfId="1292" priority="2171" stopIfTrue="1" operator="beginsWith" text="Functioning At Risk">
      <formula>LEFT(B54,LEN("Functioning At Risk"))="Functioning At Risk"</formula>
    </cfRule>
    <cfRule type="beginsWith" dxfId="1291" priority="2172" stopIfTrue="1" operator="beginsWith" text="Not Functioning">
      <formula>LEFT(B54,LEN("Not Functioning"))="Not Functioning"</formula>
    </cfRule>
    <cfRule type="containsText" dxfId="1290" priority="2173" operator="containsText" text="Functioning">
      <formula>NOT(ISERROR(SEARCH("Functioning",B54)))</formula>
    </cfRule>
  </conditionalFormatting>
  <conditionalFormatting sqref="F72:F75">
    <cfRule type="beginsWith" dxfId="1289" priority="2168" stopIfTrue="1" operator="beginsWith" text="Functioning At Risk">
      <formula>LEFT(F72,LEN("Functioning At Risk"))="Functioning At Risk"</formula>
    </cfRule>
    <cfRule type="beginsWith" dxfId="1288" priority="2169" stopIfTrue="1" operator="beginsWith" text="Not Functioning">
      <formula>LEFT(F72,LEN("Not Functioning"))="Not Functioning"</formula>
    </cfRule>
    <cfRule type="containsText" dxfId="1287" priority="2170" operator="containsText" text="Functioning">
      <formula>NOT(ISERROR(SEARCH("Functioning",F72)))</formula>
    </cfRule>
  </conditionalFormatting>
  <conditionalFormatting sqref="I111:I115 B109:B110 D99 B102 A86:B86 F106 F103 H88:I89 H86:I86 H81:K84 A88:B88 A111:A115 F91 D93:D95 F93:F95 B106:B107 A89 F86 F88:F89 D111:D114 D86:D91 D102:D106">
    <cfRule type="beginsWith" dxfId="1286" priority="2162" stopIfTrue="1" operator="beginsWith" text="Functioning At Risk">
      <formula>LEFT(A81,LEN("Functioning At Risk"))="Functioning At Risk"</formula>
    </cfRule>
    <cfRule type="beginsWith" dxfId="1285" priority="2163" stopIfTrue="1" operator="beginsWith" text="Not Functioning">
      <formula>LEFT(A81,LEN("Not Functioning"))="Not Functioning"</formula>
    </cfRule>
    <cfRule type="containsText" dxfId="1284" priority="2164" operator="containsText" text="Functioning">
      <formula>NOT(ISERROR(SEARCH("Functioning",A81)))</formula>
    </cfRule>
  </conditionalFormatting>
  <conditionalFormatting sqref="B90">
    <cfRule type="beginsWith" dxfId="1283" priority="2159" stopIfTrue="1" operator="beginsWith" text="Functioning At Risk">
      <formula>LEFT(B90,LEN("Functioning At Risk"))="Functioning At Risk"</formula>
    </cfRule>
    <cfRule type="beginsWith" dxfId="1282" priority="2160" stopIfTrue="1" operator="beginsWith" text="Not Functioning">
      <formula>LEFT(B90,LEN("Not Functioning"))="Not Functioning"</formula>
    </cfRule>
    <cfRule type="containsText" dxfId="1281" priority="2161" operator="containsText" text="Functioning">
      <formula>NOT(ISERROR(SEARCH("Functioning",B90)))</formula>
    </cfRule>
  </conditionalFormatting>
  <conditionalFormatting sqref="D96">
    <cfRule type="beginsWith" dxfId="1280" priority="2156" stopIfTrue="1" operator="beginsWith" text="Functioning At Risk">
      <formula>LEFT(D96,LEN("Functioning At Risk"))="Functioning At Risk"</formula>
    </cfRule>
    <cfRule type="beginsWith" dxfId="1279" priority="2157" stopIfTrue="1" operator="beginsWith" text="Not Functioning">
      <formula>LEFT(D96,LEN("Not Functioning"))="Not Functioning"</formula>
    </cfRule>
    <cfRule type="containsText" dxfId="1278" priority="2158" operator="containsText" text="Functioning">
      <formula>NOT(ISERROR(SEARCH("Functioning",D96)))</formula>
    </cfRule>
  </conditionalFormatting>
  <conditionalFormatting sqref="D100">
    <cfRule type="beginsWith" dxfId="1277" priority="2153" stopIfTrue="1" operator="beginsWith" text="Functioning At Risk">
      <formula>LEFT(D100,LEN("Functioning At Risk"))="Functioning At Risk"</formula>
    </cfRule>
    <cfRule type="beginsWith" dxfId="1276" priority="2154" stopIfTrue="1" operator="beginsWith" text="Not Functioning">
      <formula>LEFT(D100,LEN("Not Functioning"))="Not Functioning"</formula>
    </cfRule>
    <cfRule type="containsText" dxfId="1275" priority="2155" operator="containsText" text="Functioning">
      <formula>NOT(ISERROR(SEARCH("Functioning",D100)))</formula>
    </cfRule>
  </conditionalFormatting>
  <conditionalFormatting sqref="D101">
    <cfRule type="beginsWith" dxfId="1274" priority="2150" stopIfTrue="1" operator="beginsWith" text="Functioning At Risk">
      <formula>LEFT(D101,LEN("Functioning At Risk"))="Functioning At Risk"</formula>
    </cfRule>
    <cfRule type="beginsWith" dxfId="1273" priority="2151" stopIfTrue="1" operator="beginsWith" text="Not Functioning">
      <formula>LEFT(D101,LEN("Not Functioning"))="Not Functioning"</formula>
    </cfRule>
    <cfRule type="containsText" dxfId="1272" priority="2152" operator="containsText" text="Functioning">
      <formula>NOT(ISERROR(SEARCH("Functioning",D101)))</formula>
    </cfRule>
  </conditionalFormatting>
  <conditionalFormatting sqref="F96">
    <cfRule type="beginsWith" dxfId="1271" priority="2147" stopIfTrue="1" operator="beginsWith" text="Functioning At Risk">
      <formula>LEFT(F96,LEN("Functioning At Risk"))="Functioning At Risk"</formula>
    </cfRule>
    <cfRule type="beginsWith" dxfId="1270" priority="2148" stopIfTrue="1" operator="beginsWith" text="Not Functioning">
      <formula>LEFT(F96,LEN("Not Functioning"))="Not Functioning"</formula>
    </cfRule>
    <cfRule type="containsText" dxfId="1269" priority="2149" operator="containsText" text="Functioning">
      <formula>NOT(ISERROR(SEARCH("Functioning",F96)))</formula>
    </cfRule>
  </conditionalFormatting>
  <conditionalFormatting sqref="D97:D98 F97:F98">
    <cfRule type="beginsWith" dxfId="1268" priority="2126" stopIfTrue="1" operator="beginsWith" text="Functioning At Risk">
      <formula>LEFT(D97,LEN("Functioning At Risk"))="Functioning At Risk"</formula>
    </cfRule>
    <cfRule type="beginsWith" dxfId="1267" priority="2127" stopIfTrue="1" operator="beginsWith" text="Not Functioning">
      <formula>LEFT(D97,LEN("Not Functioning"))="Not Functioning"</formula>
    </cfRule>
    <cfRule type="containsText" dxfId="1266" priority="2128" operator="containsText" text="Functioning">
      <formula>NOT(ISERROR(SEARCH("Functioning",D97)))</formula>
    </cfRule>
  </conditionalFormatting>
  <conditionalFormatting sqref="A107">
    <cfRule type="beginsWith" dxfId="1265" priority="2117" stopIfTrue="1" operator="beginsWith" text="Functioning At Risk">
      <formula>LEFT(A107,LEN("Functioning At Risk"))="Functioning At Risk"</formula>
    </cfRule>
    <cfRule type="beginsWith" dxfId="1264" priority="2118" stopIfTrue="1" operator="beginsWith" text="Not Functioning">
      <formula>LEFT(A107,LEN("Not Functioning"))="Not Functioning"</formula>
    </cfRule>
    <cfRule type="containsText" dxfId="1263" priority="2119" operator="containsText" text="Functioning">
      <formula>NOT(ISERROR(SEARCH("Functioning",A107)))</formula>
    </cfRule>
  </conditionalFormatting>
  <conditionalFormatting sqref="H107">
    <cfRule type="beginsWith" dxfId="1262" priority="2114" stopIfTrue="1" operator="beginsWith" text="Functioning At Risk">
      <formula>LEFT(H107,LEN("Functioning At Risk"))="Functioning At Risk"</formula>
    </cfRule>
    <cfRule type="beginsWith" dxfId="1261" priority="2115" stopIfTrue="1" operator="beginsWith" text="Not Functioning">
      <formula>LEFT(H107,LEN("Not Functioning"))="Not Functioning"</formula>
    </cfRule>
    <cfRule type="containsText" dxfId="1260" priority="2116" operator="containsText" text="Functioning">
      <formula>NOT(ISERROR(SEARCH("Functioning",H107)))</formula>
    </cfRule>
  </conditionalFormatting>
  <conditionalFormatting sqref="I107">
    <cfRule type="beginsWith" dxfId="1259" priority="2111" stopIfTrue="1" operator="beginsWith" text="Functioning At Risk">
      <formula>LEFT(I107,LEN("Functioning At Risk"))="Functioning At Risk"</formula>
    </cfRule>
    <cfRule type="beginsWith" dxfId="1258" priority="2112" stopIfTrue="1" operator="beginsWith" text="Not Functioning">
      <formula>LEFT(I107,LEN("Not Functioning"))="Not Functioning"</formula>
    </cfRule>
    <cfRule type="containsText" dxfId="1257" priority="2113" operator="containsText" text="Functioning">
      <formula>NOT(ISERROR(SEARCH("Functioning",I107)))</formula>
    </cfRule>
  </conditionalFormatting>
  <conditionalFormatting sqref="D115">
    <cfRule type="beginsWith" dxfId="1256" priority="2107" stopIfTrue="1" operator="beginsWith" text="Functioning At Risk">
      <formula>LEFT(D115,LEN("Functioning At Risk"))="Functioning At Risk"</formula>
    </cfRule>
    <cfRule type="beginsWith" dxfId="1255" priority="2108" stopIfTrue="1" operator="beginsWith" text="Not Functioning">
      <formula>LEFT(D115,LEN("Not Functioning"))="Not Functioning"</formula>
    </cfRule>
    <cfRule type="containsText" dxfId="1254" priority="2109" operator="containsText" text="Functioning">
      <formula>NOT(ISERROR(SEARCH("Functioning",D115)))</formula>
    </cfRule>
  </conditionalFormatting>
  <conditionalFormatting sqref="D116">
    <cfRule type="beginsWith" dxfId="1253" priority="2104" stopIfTrue="1" operator="beginsWith" text="Functioning At Risk">
      <formula>LEFT(D116,LEN("Functioning At Risk"))="Functioning At Risk"</formula>
    </cfRule>
    <cfRule type="beginsWith" dxfId="1252" priority="2105" stopIfTrue="1" operator="beginsWith" text="Not Functioning">
      <formula>LEFT(D116,LEN("Not Functioning"))="Not Functioning"</formula>
    </cfRule>
    <cfRule type="containsText" dxfId="1251" priority="2106" operator="containsText" text="Functioning">
      <formula>NOT(ISERROR(SEARCH("Functioning",D116)))</formula>
    </cfRule>
  </conditionalFormatting>
  <conditionalFormatting sqref="B115">
    <cfRule type="beginsWith" dxfId="1250" priority="2101" stopIfTrue="1" operator="beginsWith" text="Functioning At Risk">
      <formula>LEFT(B115,LEN("Functioning At Risk"))="Functioning At Risk"</formula>
    </cfRule>
    <cfRule type="beginsWith" dxfId="1249" priority="2102" stopIfTrue="1" operator="beginsWith" text="Not Functioning">
      <formula>LEFT(B115,LEN("Not Functioning"))="Not Functioning"</formula>
    </cfRule>
    <cfRule type="containsText" dxfId="1248" priority="2103" operator="containsText" text="Functioning">
      <formula>NOT(ISERROR(SEARCH("Functioning",B115)))</formula>
    </cfRule>
  </conditionalFormatting>
  <conditionalFormatting sqref="F115:F116">
    <cfRule type="beginsWith" dxfId="1247" priority="2091" stopIfTrue="1" operator="beginsWith" text="Functioning At Risk">
      <formula>LEFT(F115,LEN("Functioning At Risk"))="Functioning At Risk"</formula>
    </cfRule>
    <cfRule type="beginsWith" dxfId="1246" priority="2092" stopIfTrue="1" operator="beginsWith" text="Not Functioning">
      <formula>LEFT(F115,LEN("Not Functioning"))="Not Functioning"</formula>
    </cfRule>
    <cfRule type="containsText" dxfId="1245" priority="2093" operator="containsText" text="Functioning">
      <formula>NOT(ISERROR(SEARCH("Functioning",F115)))</formula>
    </cfRule>
  </conditionalFormatting>
  <conditionalFormatting sqref="B93">
    <cfRule type="beginsWith" dxfId="1244" priority="2082" stopIfTrue="1" operator="beginsWith" text="Functioning At Risk">
      <formula>LEFT(B93,LEN("Functioning At Risk"))="Functioning At Risk"</formula>
    </cfRule>
    <cfRule type="beginsWith" dxfId="1243" priority="2083" stopIfTrue="1" operator="beginsWith" text="Not Functioning">
      <formula>LEFT(B93,LEN("Not Functioning"))="Not Functioning"</formula>
    </cfRule>
    <cfRule type="containsText" dxfId="1242" priority="2084" operator="containsText" text="Functioning">
      <formula>NOT(ISERROR(SEARCH("Functioning",B93)))</formula>
    </cfRule>
  </conditionalFormatting>
  <conditionalFormatting sqref="F111:F114">
    <cfRule type="beginsWith" dxfId="1241" priority="2079" stopIfTrue="1" operator="beginsWith" text="Functioning At Risk">
      <formula>LEFT(F111,LEN("Functioning At Risk"))="Functioning At Risk"</formula>
    </cfRule>
    <cfRule type="beginsWith" dxfId="1240" priority="2080" stopIfTrue="1" operator="beginsWith" text="Not Functioning">
      <formula>LEFT(F111,LEN("Not Functioning"))="Not Functioning"</formula>
    </cfRule>
    <cfRule type="containsText" dxfId="1239" priority="2081" operator="containsText" text="Functioning">
      <formula>NOT(ISERROR(SEARCH("Functioning",F111)))</formula>
    </cfRule>
  </conditionalFormatting>
  <conditionalFormatting sqref="I150:I154 B148:B149 D138 B141 A125:B125 F145 F142 H127:I128 H125:I125 H120:K123 A127:B127 A150:A154 F130 D132:D134 F132:F134 B145:B146 A128 F125 F127:F128 D150:D153 D125:D130 D141:D145">
    <cfRule type="beginsWith" dxfId="1238" priority="2073" stopIfTrue="1" operator="beginsWith" text="Functioning At Risk">
      <formula>LEFT(A120,LEN("Functioning At Risk"))="Functioning At Risk"</formula>
    </cfRule>
    <cfRule type="beginsWith" dxfId="1237" priority="2074" stopIfTrue="1" operator="beginsWith" text="Not Functioning">
      <formula>LEFT(A120,LEN("Not Functioning"))="Not Functioning"</formula>
    </cfRule>
    <cfRule type="containsText" dxfId="1236" priority="2075" operator="containsText" text="Functioning">
      <formula>NOT(ISERROR(SEARCH("Functioning",A120)))</formula>
    </cfRule>
  </conditionalFormatting>
  <conditionalFormatting sqref="B129">
    <cfRule type="beginsWith" dxfId="1235" priority="2070" stopIfTrue="1" operator="beginsWith" text="Functioning At Risk">
      <formula>LEFT(B129,LEN("Functioning At Risk"))="Functioning At Risk"</formula>
    </cfRule>
    <cfRule type="beginsWith" dxfId="1234" priority="2071" stopIfTrue="1" operator="beginsWith" text="Not Functioning">
      <formula>LEFT(B129,LEN("Not Functioning"))="Not Functioning"</formula>
    </cfRule>
    <cfRule type="containsText" dxfId="1233" priority="2072" operator="containsText" text="Functioning">
      <formula>NOT(ISERROR(SEARCH("Functioning",B129)))</formula>
    </cfRule>
  </conditionalFormatting>
  <conditionalFormatting sqref="D135">
    <cfRule type="beginsWith" dxfId="1232" priority="2067" stopIfTrue="1" operator="beginsWith" text="Functioning At Risk">
      <formula>LEFT(D135,LEN("Functioning At Risk"))="Functioning At Risk"</formula>
    </cfRule>
    <cfRule type="beginsWith" dxfId="1231" priority="2068" stopIfTrue="1" operator="beginsWith" text="Not Functioning">
      <formula>LEFT(D135,LEN("Not Functioning"))="Not Functioning"</formula>
    </cfRule>
    <cfRule type="containsText" dxfId="1230" priority="2069" operator="containsText" text="Functioning">
      <formula>NOT(ISERROR(SEARCH("Functioning",D135)))</formula>
    </cfRule>
  </conditionalFormatting>
  <conditionalFormatting sqref="D139">
    <cfRule type="beginsWith" dxfId="1229" priority="2064" stopIfTrue="1" operator="beginsWith" text="Functioning At Risk">
      <formula>LEFT(D139,LEN("Functioning At Risk"))="Functioning At Risk"</formula>
    </cfRule>
    <cfRule type="beginsWith" dxfId="1228" priority="2065" stopIfTrue="1" operator="beginsWith" text="Not Functioning">
      <formula>LEFT(D139,LEN("Not Functioning"))="Not Functioning"</formula>
    </cfRule>
    <cfRule type="containsText" dxfId="1227" priority="2066" operator="containsText" text="Functioning">
      <formula>NOT(ISERROR(SEARCH("Functioning",D139)))</formula>
    </cfRule>
  </conditionalFormatting>
  <conditionalFormatting sqref="D140">
    <cfRule type="beginsWith" dxfId="1226" priority="2061" stopIfTrue="1" operator="beginsWith" text="Functioning At Risk">
      <formula>LEFT(D140,LEN("Functioning At Risk"))="Functioning At Risk"</formula>
    </cfRule>
    <cfRule type="beginsWith" dxfId="1225" priority="2062" stopIfTrue="1" operator="beginsWith" text="Not Functioning">
      <formula>LEFT(D140,LEN("Not Functioning"))="Not Functioning"</formula>
    </cfRule>
    <cfRule type="containsText" dxfId="1224" priority="2063" operator="containsText" text="Functioning">
      <formula>NOT(ISERROR(SEARCH("Functioning",D140)))</formula>
    </cfRule>
  </conditionalFormatting>
  <conditionalFormatting sqref="F135">
    <cfRule type="beginsWith" dxfId="1223" priority="2058" stopIfTrue="1" operator="beginsWith" text="Functioning At Risk">
      <formula>LEFT(F135,LEN("Functioning At Risk"))="Functioning At Risk"</formula>
    </cfRule>
    <cfRule type="beginsWith" dxfId="1222" priority="2059" stopIfTrue="1" operator="beginsWith" text="Not Functioning">
      <formula>LEFT(F135,LEN("Not Functioning"))="Not Functioning"</formula>
    </cfRule>
    <cfRule type="containsText" dxfId="1221" priority="2060" operator="containsText" text="Functioning">
      <formula>NOT(ISERROR(SEARCH("Functioning",F135)))</formula>
    </cfRule>
  </conditionalFormatting>
  <conditionalFormatting sqref="D136:D137 F136:F137">
    <cfRule type="beginsWith" dxfId="1220" priority="2037" stopIfTrue="1" operator="beginsWith" text="Functioning At Risk">
      <formula>LEFT(D136,LEN("Functioning At Risk"))="Functioning At Risk"</formula>
    </cfRule>
    <cfRule type="beginsWith" dxfId="1219" priority="2038" stopIfTrue="1" operator="beginsWith" text="Not Functioning">
      <formula>LEFT(D136,LEN("Not Functioning"))="Not Functioning"</formula>
    </cfRule>
    <cfRule type="containsText" dxfId="1218" priority="2039" operator="containsText" text="Functioning">
      <formula>NOT(ISERROR(SEARCH("Functioning",D136)))</formula>
    </cfRule>
  </conditionalFormatting>
  <conditionalFormatting sqref="B210">
    <cfRule type="beginsWith" dxfId="1217" priority="1815" stopIfTrue="1" operator="beginsWith" text="Functioning At Risk">
      <formula>LEFT(B210,LEN("Functioning At Risk"))="Functioning At Risk"</formula>
    </cfRule>
    <cfRule type="beginsWith" dxfId="1216" priority="1816" stopIfTrue="1" operator="beginsWith" text="Not Functioning">
      <formula>LEFT(B210,LEN("Not Functioning"))="Not Functioning"</formula>
    </cfRule>
    <cfRule type="containsText" dxfId="1215" priority="1817" operator="containsText" text="Functioning">
      <formula>NOT(ISERROR(SEARCH("Functioning",B210)))</formula>
    </cfRule>
  </conditionalFormatting>
  <conditionalFormatting sqref="A146">
    <cfRule type="beginsWith" dxfId="1214" priority="2028" stopIfTrue="1" operator="beginsWith" text="Functioning At Risk">
      <formula>LEFT(A146,LEN("Functioning At Risk"))="Functioning At Risk"</formula>
    </cfRule>
    <cfRule type="beginsWith" dxfId="1213" priority="2029" stopIfTrue="1" operator="beginsWith" text="Not Functioning">
      <formula>LEFT(A146,LEN("Not Functioning"))="Not Functioning"</formula>
    </cfRule>
    <cfRule type="containsText" dxfId="1212" priority="2030" operator="containsText" text="Functioning">
      <formula>NOT(ISERROR(SEARCH("Functioning",A146)))</formula>
    </cfRule>
  </conditionalFormatting>
  <conditionalFormatting sqref="H146">
    <cfRule type="beginsWith" dxfId="1211" priority="2025" stopIfTrue="1" operator="beginsWith" text="Functioning At Risk">
      <formula>LEFT(H146,LEN("Functioning At Risk"))="Functioning At Risk"</formula>
    </cfRule>
    <cfRule type="beginsWith" dxfId="1210" priority="2026" stopIfTrue="1" operator="beginsWith" text="Not Functioning">
      <formula>LEFT(H146,LEN("Not Functioning"))="Not Functioning"</formula>
    </cfRule>
    <cfRule type="containsText" dxfId="1209" priority="2027" operator="containsText" text="Functioning">
      <formula>NOT(ISERROR(SEARCH("Functioning",H146)))</formula>
    </cfRule>
  </conditionalFormatting>
  <conditionalFormatting sqref="I146">
    <cfRule type="beginsWith" dxfId="1208" priority="2022" stopIfTrue="1" operator="beginsWith" text="Functioning At Risk">
      <formula>LEFT(I146,LEN("Functioning At Risk"))="Functioning At Risk"</formula>
    </cfRule>
    <cfRule type="beginsWith" dxfId="1207" priority="2023" stopIfTrue="1" operator="beginsWith" text="Not Functioning">
      <formula>LEFT(I146,LEN("Not Functioning"))="Not Functioning"</formula>
    </cfRule>
    <cfRule type="containsText" dxfId="1206" priority="2024" operator="containsText" text="Functioning">
      <formula>NOT(ISERROR(SEARCH("Functioning",I146)))</formula>
    </cfRule>
  </conditionalFormatting>
  <conditionalFormatting sqref="D154">
    <cfRule type="beginsWith" dxfId="1205" priority="2018" stopIfTrue="1" operator="beginsWith" text="Functioning At Risk">
      <formula>LEFT(D154,LEN("Functioning At Risk"))="Functioning At Risk"</formula>
    </cfRule>
    <cfRule type="beginsWith" dxfId="1204" priority="2019" stopIfTrue="1" operator="beginsWith" text="Not Functioning">
      <formula>LEFT(D154,LEN("Not Functioning"))="Not Functioning"</formula>
    </cfRule>
    <cfRule type="containsText" dxfId="1203" priority="2020" operator="containsText" text="Functioning">
      <formula>NOT(ISERROR(SEARCH("Functioning",D154)))</formula>
    </cfRule>
  </conditionalFormatting>
  <conditionalFormatting sqref="D155">
    <cfRule type="beginsWith" dxfId="1202" priority="2015" stopIfTrue="1" operator="beginsWith" text="Functioning At Risk">
      <formula>LEFT(D155,LEN("Functioning At Risk"))="Functioning At Risk"</formula>
    </cfRule>
    <cfRule type="beginsWith" dxfId="1201" priority="2016" stopIfTrue="1" operator="beginsWith" text="Not Functioning">
      <formula>LEFT(D155,LEN("Not Functioning"))="Not Functioning"</formula>
    </cfRule>
    <cfRule type="containsText" dxfId="1200" priority="2017" operator="containsText" text="Functioning">
      <formula>NOT(ISERROR(SEARCH("Functioning",D155)))</formula>
    </cfRule>
  </conditionalFormatting>
  <conditionalFormatting sqref="B154">
    <cfRule type="beginsWith" dxfId="1199" priority="2012" stopIfTrue="1" operator="beginsWith" text="Functioning At Risk">
      <formula>LEFT(B154,LEN("Functioning At Risk"))="Functioning At Risk"</formula>
    </cfRule>
    <cfRule type="beginsWith" dxfId="1198" priority="2013" stopIfTrue="1" operator="beginsWith" text="Not Functioning">
      <formula>LEFT(B154,LEN("Not Functioning"))="Not Functioning"</formula>
    </cfRule>
    <cfRule type="containsText" dxfId="1197" priority="2014" operator="containsText" text="Functioning">
      <formula>NOT(ISERROR(SEARCH("Functioning",B154)))</formula>
    </cfRule>
  </conditionalFormatting>
  <conditionalFormatting sqref="F154:F155">
    <cfRule type="beginsWith" dxfId="1196" priority="2002" stopIfTrue="1" operator="beginsWith" text="Functioning At Risk">
      <formula>LEFT(F154,LEN("Functioning At Risk"))="Functioning At Risk"</formula>
    </cfRule>
    <cfRule type="beginsWith" dxfId="1195" priority="2003" stopIfTrue="1" operator="beginsWith" text="Not Functioning">
      <formula>LEFT(F154,LEN("Not Functioning"))="Not Functioning"</formula>
    </cfRule>
    <cfRule type="containsText" dxfId="1194" priority="2004" operator="containsText" text="Functioning">
      <formula>NOT(ISERROR(SEARCH("Functioning",F154)))</formula>
    </cfRule>
  </conditionalFormatting>
  <conditionalFormatting sqref="B132">
    <cfRule type="beginsWith" dxfId="1193" priority="1993" stopIfTrue="1" operator="beginsWith" text="Functioning At Risk">
      <formula>LEFT(B132,LEN("Functioning At Risk"))="Functioning At Risk"</formula>
    </cfRule>
    <cfRule type="beginsWith" dxfId="1192" priority="1994" stopIfTrue="1" operator="beginsWith" text="Not Functioning">
      <formula>LEFT(B132,LEN("Not Functioning"))="Not Functioning"</formula>
    </cfRule>
    <cfRule type="containsText" dxfId="1191" priority="1995" operator="containsText" text="Functioning">
      <formula>NOT(ISERROR(SEARCH("Functioning",B132)))</formula>
    </cfRule>
  </conditionalFormatting>
  <conditionalFormatting sqref="F150:F153">
    <cfRule type="beginsWith" dxfId="1190" priority="1990" stopIfTrue="1" operator="beginsWith" text="Functioning At Risk">
      <formula>LEFT(F150,LEN("Functioning At Risk"))="Functioning At Risk"</formula>
    </cfRule>
    <cfRule type="beginsWith" dxfId="1189" priority="1991" stopIfTrue="1" operator="beginsWith" text="Not Functioning">
      <formula>LEFT(F150,LEN("Not Functioning"))="Not Functioning"</formula>
    </cfRule>
    <cfRule type="containsText" dxfId="1188" priority="1992" operator="containsText" text="Functioning">
      <formula>NOT(ISERROR(SEARCH("Functioning",F150)))</formula>
    </cfRule>
  </conditionalFormatting>
  <conditionalFormatting sqref="I189:I193 B187:B188 D177 B180 A164:B164 F184 F181 H166:I167 H164:I164 H159:K162 A166:B166 A189:A193 F169 D171:D173 F171:F173 B184:B185 A167 F164 F166:F167 D189:D192 D164:D169 D180:D184">
    <cfRule type="beginsWith" dxfId="1187" priority="1984" stopIfTrue="1" operator="beginsWith" text="Functioning At Risk">
      <formula>LEFT(A159,LEN("Functioning At Risk"))="Functioning At Risk"</formula>
    </cfRule>
    <cfRule type="beginsWith" dxfId="1186" priority="1985" stopIfTrue="1" operator="beginsWith" text="Not Functioning">
      <formula>LEFT(A159,LEN("Not Functioning"))="Not Functioning"</formula>
    </cfRule>
    <cfRule type="containsText" dxfId="1185" priority="1986" operator="containsText" text="Functioning">
      <formula>NOT(ISERROR(SEARCH("Functioning",A159)))</formula>
    </cfRule>
  </conditionalFormatting>
  <conditionalFormatting sqref="B168">
    <cfRule type="beginsWith" dxfId="1184" priority="1981" stopIfTrue="1" operator="beginsWith" text="Functioning At Risk">
      <formula>LEFT(B168,LEN("Functioning At Risk"))="Functioning At Risk"</formula>
    </cfRule>
    <cfRule type="beginsWith" dxfId="1183" priority="1982" stopIfTrue="1" operator="beginsWith" text="Not Functioning">
      <formula>LEFT(B168,LEN("Not Functioning"))="Not Functioning"</formula>
    </cfRule>
    <cfRule type="containsText" dxfId="1182" priority="1983" operator="containsText" text="Functioning">
      <formula>NOT(ISERROR(SEARCH("Functioning",B168)))</formula>
    </cfRule>
  </conditionalFormatting>
  <conditionalFormatting sqref="D174">
    <cfRule type="beginsWith" dxfId="1181" priority="1978" stopIfTrue="1" operator="beginsWith" text="Functioning At Risk">
      <formula>LEFT(D174,LEN("Functioning At Risk"))="Functioning At Risk"</formula>
    </cfRule>
    <cfRule type="beginsWith" dxfId="1180" priority="1979" stopIfTrue="1" operator="beginsWith" text="Not Functioning">
      <formula>LEFT(D174,LEN("Not Functioning"))="Not Functioning"</formula>
    </cfRule>
    <cfRule type="containsText" dxfId="1179" priority="1980" operator="containsText" text="Functioning">
      <formula>NOT(ISERROR(SEARCH("Functioning",D174)))</formula>
    </cfRule>
  </conditionalFormatting>
  <conditionalFormatting sqref="D178">
    <cfRule type="beginsWith" dxfId="1178" priority="1975" stopIfTrue="1" operator="beginsWith" text="Functioning At Risk">
      <formula>LEFT(D178,LEN("Functioning At Risk"))="Functioning At Risk"</formula>
    </cfRule>
    <cfRule type="beginsWith" dxfId="1177" priority="1976" stopIfTrue="1" operator="beginsWith" text="Not Functioning">
      <formula>LEFT(D178,LEN("Not Functioning"))="Not Functioning"</formula>
    </cfRule>
    <cfRule type="containsText" dxfId="1176" priority="1977" operator="containsText" text="Functioning">
      <formula>NOT(ISERROR(SEARCH("Functioning",D178)))</formula>
    </cfRule>
  </conditionalFormatting>
  <conditionalFormatting sqref="D179">
    <cfRule type="beginsWith" dxfId="1175" priority="1972" stopIfTrue="1" operator="beginsWith" text="Functioning At Risk">
      <formula>LEFT(D179,LEN("Functioning At Risk"))="Functioning At Risk"</formula>
    </cfRule>
    <cfRule type="beginsWith" dxfId="1174" priority="1973" stopIfTrue="1" operator="beginsWith" text="Not Functioning">
      <formula>LEFT(D179,LEN("Not Functioning"))="Not Functioning"</formula>
    </cfRule>
    <cfRule type="containsText" dxfId="1173" priority="1974" operator="containsText" text="Functioning">
      <formula>NOT(ISERROR(SEARCH("Functioning",D179)))</formula>
    </cfRule>
  </conditionalFormatting>
  <conditionalFormatting sqref="D175:D176 F175:F176">
    <cfRule type="beginsWith" dxfId="1172" priority="1948" stopIfTrue="1" operator="beginsWith" text="Functioning At Risk">
      <formula>LEFT(D175,LEN("Functioning At Risk"))="Functioning At Risk"</formula>
    </cfRule>
    <cfRule type="beginsWith" dxfId="1171" priority="1949" stopIfTrue="1" operator="beginsWith" text="Not Functioning">
      <formula>LEFT(D175,LEN("Not Functioning"))="Not Functioning"</formula>
    </cfRule>
    <cfRule type="containsText" dxfId="1170" priority="1950" operator="containsText" text="Functioning">
      <formula>NOT(ISERROR(SEARCH("Functioning",D175)))</formula>
    </cfRule>
  </conditionalFormatting>
  <conditionalFormatting sqref="H185">
    <cfRule type="beginsWith" dxfId="1169" priority="1936" stopIfTrue="1" operator="beginsWith" text="Functioning At Risk">
      <formula>LEFT(H185,LEN("Functioning At Risk"))="Functioning At Risk"</formula>
    </cfRule>
    <cfRule type="beginsWith" dxfId="1168" priority="1937" stopIfTrue="1" operator="beginsWith" text="Not Functioning">
      <formula>LEFT(H185,LEN("Not Functioning"))="Not Functioning"</formula>
    </cfRule>
    <cfRule type="containsText" dxfId="1167" priority="1938" operator="containsText" text="Functioning">
      <formula>NOT(ISERROR(SEARCH("Functioning",H185)))</formula>
    </cfRule>
  </conditionalFormatting>
  <conditionalFormatting sqref="I185">
    <cfRule type="beginsWith" dxfId="1166" priority="1933" stopIfTrue="1" operator="beginsWith" text="Functioning At Risk">
      <formula>LEFT(I185,LEN("Functioning At Risk"))="Functioning At Risk"</formula>
    </cfRule>
    <cfRule type="beginsWith" dxfId="1165" priority="1934" stopIfTrue="1" operator="beginsWith" text="Not Functioning">
      <formula>LEFT(I185,LEN("Not Functioning"))="Not Functioning"</formula>
    </cfRule>
    <cfRule type="containsText" dxfId="1164" priority="1935" operator="containsText" text="Functioning">
      <formula>NOT(ISERROR(SEARCH("Functioning",I185)))</formula>
    </cfRule>
  </conditionalFormatting>
  <conditionalFormatting sqref="D193">
    <cfRule type="beginsWith" dxfId="1163" priority="1929" stopIfTrue="1" operator="beginsWith" text="Functioning At Risk">
      <formula>LEFT(D193,LEN("Functioning At Risk"))="Functioning At Risk"</formula>
    </cfRule>
    <cfRule type="beginsWith" dxfId="1162" priority="1930" stopIfTrue="1" operator="beginsWith" text="Not Functioning">
      <formula>LEFT(D193,LEN("Not Functioning"))="Not Functioning"</formula>
    </cfRule>
    <cfRule type="containsText" dxfId="1161" priority="1931" operator="containsText" text="Functioning">
      <formula>NOT(ISERROR(SEARCH("Functioning",D193)))</formula>
    </cfRule>
  </conditionalFormatting>
  <conditionalFormatting sqref="D194">
    <cfRule type="beginsWith" dxfId="1160" priority="1926" stopIfTrue="1" operator="beginsWith" text="Functioning At Risk">
      <formula>LEFT(D194,LEN("Functioning At Risk"))="Functioning At Risk"</formula>
    </cfRule>
    <cfRule type="beginsWith" dxfId="1159" priority="1927" stopIfTrue="1" operator="beginsWith" text="Not Functioning">
      <formula>LEFT(D194,LEN("Not Functioning"))="Not Functioning"</formula>
    </cfRule>
    <cfRule type="containsText" dxfId="1158" priority="1928" operator="containsText" text="Functioning">
      <formula>NOT(ISERROR(SEARCH("Functioning",D194)))</formula>
    </cfRule>
  </conditionalFormatting>
  <conditionalFormatting sqref="B193">
    <cfRule type="beginsWith" dxfId="1157" priority="1923" stopIfTrue="1" operator="beginsWith" text="Functioning At Risk">
      <formula>LEFT(B193,LEN("Functioning At Risk"))="Functioning At Risk"</formula>
    </cfRule>
    <cfRule type="beginsWith" dxfId="1156" priority="1924" stopIfTrue="1" operator="beginsWith" text="Not Functioning">
      <formula>LEFT(B193,LEN("Not Functioning"))="Not Functioning"</formula>
    </cfRule>
    <cfRule type="containsText" dxfId="1155" priority="1925" operator="containsText" text="Functioning">
      <formula>NOT(ISERROR(SEARCH("Functioning",B193)))</formula>
    </cfRule>
  </conditionalFormatting>
  <conditionalFormatting sqref="F193:F194">
    <cfRule type="beginsWith" dxfId="1154" priority="1913" stopIfTrue="1" operator="beginsWith" text="Functioning At Risk">
      <formula>LEFT(F193,LEN("Functioning At Risk"))="Functioning At Risk"</formula>
    </cfRule>
    <cfRule type="beginsWith" dxfId="1153" priority="1914" stopIfTrue="1" operator="beginsWith" text="Not Functioning">
      <formula>LEFT(F193,LEN("Not Functioning"))="Not Functioning"</formula>
    </cfRule>
    <cfRule type="containsText" dxfId="1152" priority="1915" operator="containsText" text="Functioning">
      <formula>NOT(ISERROR(SEARCH("Functioning",F193)))</formula>
    </cfRule>
  </conditionalFormatting>
  <conditionalFormatting sqref="F189:F192">
    <cfRule type="beginsWith" dxfId="1151" priority="1901" stopIfTrue="1" operator="beginsWith" text="Functioning At Risk">
      <formula>LEFT(F189,LEN("Functioning At Risk"))="Functioning At Risk"</formula>
    </cfRule>
    <cfRule type="beginsWith" dxfId="1150" priority="1902" stopIfTrue="1" operator="beginsWith" text="Not Functioning">
      <formula>LEFT(F189,LEN("Not Functioning"))="Not Functioning"</formula>
    </cfRule>
    <cfRule type="containsText" dxfId="1149" priority="1903" operator="containsText" text="Functioning">
      <formula>NOT(ISERROR(SEARCH("Functioning",F189)))</formula>
    </cfRule>
  </conditionalFormatting>
  <conditionalFormatting sqref="I228:I232 B226:B227 D216 B219 A203:B203 F223 F220 H205:I206 H203:I203 H198:K201 A205:B205 A228:A232 F208 D210:D212 F210:F212 B223:B224 A206 F203 F205:F206 D228:D231 D203:D208 D219:D223">
    <cfRule type="beginsWith" dxfId="1148" priority="1895" stopIfTrue="1" operator="beginsWith" text="Functioning At Risk">
      <formula>LEFT(A198,LEN("Functioning At Risk"))="Functioning At Risk"</formula>
    </cfRule>
    <cfRule type="beginsWith" dxfId="1147" priority="1896" stopIfTrue="1" operator="beginsWith" text="Not Functioning">
      <formula>LEFT(A198,LEN("Not Functioning"))="Not Functioning"</formula>
    </cfRule>
    <cfRule type="containsText" dxfId="1146" priority="1897" operator="containsText" text="Functioning">
      <formula>NOT(ISERROR(SEARCH("Functioning",A198)))</formula>
    </cfRule>
  </conditionalFormatting>
  <conditionalFormatting sqref="B207">
    <cfRule type="beginsWith" dxfId="1145" priority="1892" stopIfTrue="1" operator="beginsWith" text="Functioning At Risk">
      <formula>LEFT(B207,LEN("Functioning At Risk"))="Functioning At Risk"</formula>
    </cfRule>
    <cfRule type="beginsWith" dxfId="1144" priority="1893" stopIfTrue="1" operator="beginsWith" text="Not Functioning">
      <formula>LEFT(B207,LEN("Not Functioning"))="Not Functioning"</formula>
    </cfRule>
    <cfRule type="containsText" dxfId="1143" priority="1894" operator="containsText" text="Functioning">
      <formula>NOT(ISERROR(SEARCH("Functioning",B207)))</formula>
    </cfRule>
  </conditionalFormatting>
  <conditionalFormatting sqref="D213">
    <cfRule type="beginsWith" dxfId="1142" priority="1889" stopIfTrue="1" operator="beginsWith" text="Functioning At Risk">
      <formula>LEFT(D213,LEN("Functioning At Risk"))="Functioning At Risk"</formula>
    </cfRule>
    <cfRule type="beginsWith" dxfId="1141" priority="1890" stopIfTrue="1" operator="beginsWith" text="Not Functioning">
      <formula>LEFT(D213,LEN("Not Functioning"))="Not Functioning"</formula>
    </cfRule>
    <cfRule type="containsText" dxfId="1140" priority="1891" operator="containsText" text="Functioning">
      <formula>NOT(ISERROR(SEARCH("Functioning",D213)))</formula>
    </cfRule>
  </conditionalFormatting>
  <conditionalFormatting sqref="D217">
    <cfRule type="beginsWith" dxfId="1139" priority="1886" stopIfTrue="1" operator="beginsWith" text="Functioning At Risk">
      <formula>LEFT(D217,LEN("Functioning At Risk"))="Functioning At Risk"</formula>
    </cfRule>
    <cfRule type="beginsWith" dxfId="1138" priority="1887" stopIfTrue="1" operator="beginsWith" text="Not Functioning">
      <formula>LEFT(D217,LEN("Not Functioning"))="Not Functioning"</formula>
    </cfRule>
    <cfRule type="containsText" dxfId="1137" priority="1888" operator="containsText" text="Functioning">
      <formula>NOT(ISERROR(SEARCH("Functioning",D217)))</formula>
    </cfRule>
  </conditionalFormatting>
  <conditionalFormatting sqref="D218">
    <cfRule type="beginsWith" dxfId="1136" priority="1883" stopIfTrue="1" operator="beginsWith" text="Functioning At Risk">
      <formula>LEFT(D218,LEN("Functioning At Risk"))="Functioning At Risk"</formula>
    </cfRule>
    <cfRule type="beginsWith" dxfId="1135" priority="1884" stopIfTrue="1" operator="beginsWith" text="Not Functioning">
      <formula>LEFT(D218,LEN("Not Functioning"))="Not Functioning"</formula>
    </cfRule>
    <cfRule type="containsText" dxfId="1134" priority="1885" operator="containsText" text="Functioning">
      <formula>NOT(ISERROR(SEARCH("Functioning",D218)))</formula>
    </cfRule>
  </conditionalFormatting>
  <conditionalFormatting sqref="F213">
    <cfRule type="beginsWith" dxfId="1133" priority="1880" stopIfTrue="1" operator="beginsWith" text="Functioning At Risk">
      <formula>LEFT(F213,LEN("Functioning At Risk"))="Functioning At Risk"</formula>
    </cfRule>
    <cfRule type="beginsWith" dxfId="1132" priority="1881" stopIfTrue="1" operator="beginsWith" text="Not Functioning">
      <formula>LEFT(F213,LEN("Not Functioning"))="Not Functioning"</formula>
    </cfRule>
    <cfRule type="containsText" dxfId="1131" priority="1882" operator="containsText" text="Functioning">
      <formula>NOT(ISERROR(SEARCH("Functioning",F213)))</formula>
    </cfRule>
  </conditionalFormatting>
  <conditionalFormatting sqref="D214:D215 F214:F215">
    <cfRule type="beginsWith" dxfId="1130" priority="1859" stopIfTrue="1" operator="beginsWith" text="Functioning At Risk">
      <formula>LEFT(D214,LEN("Functioning At Risk"))="Functioning At Risk"</formula>
    </cfRule>
    <cfRule type="beginsWith" dxfId="1129" priority="1860" stopIfTrue="1" operator="beginsWith" text="Not Functioning">
      <formula>LEFT(D214,LEN("Not Functioning"))="Not Functioning"</formula>
    </cfRule>
    <cfRule type="containsText" dxfId="1128" priority="1861" operator="containsText" text="Functioning">
      <formula>NOT(ISERROR(SEARCH("Functioning",D214)))</formula>
    </cfRule>
  </conditionalFormatting>
  <conditionalFormatting sqref="A224">
    <cfRule type="beginsWith" dxfId="1127" priority="1850" stopIfTrue="1" operator="beginsWith" text="Functioning At Risk">
      <formula>LEFT(A224,LEN("Functioning At Risk"))="Functioning At Risk"</formula>
    </cfRule>
    <cfRule type="beginsWith" dxfId="1126" priority="1851" stopIfTrue="1" operator="beginsWith" text="Not Functioning">
      <formula>LEFT(A224,LEN("Not Functioning"))="Not Functioning"</formula>
    </cfRule>
    <cfRule type="containsText" dxfId="1125" priority="1852" operator="containsText" text="Functioning">
      <formula>NOT(ISERROR(SEARCH("Functioning",A224)))</formula>
    </cfRule>
  </conditionalFormatting>
  <conditionalFormatting sqref="H224">
    <cfRule type="beginsWith" dxfId="1124" priority="1847" stopIfTrue="1" operator="beginsWith" text="Functioning At Risk">
      <formula>LEFT(H224,LEN("Functioning At Risk"))="Functioning At Risk"</formula>
    </cfRule>
    <cfRule type="beginsWith" dxfId="1123" priority="1848" stopIfTrue="1" operator="beginsWith" text="Not Functioning">
      <formula>LEFT(H224,LEN("Not Functioning"))="Not Functioning"</formula>
    </cfRule>
    <cfRule type="containsText" dxfId="1122" priority="1849" operator="containsText" text="Functioning">
      <formula>NOT(ISERROR(SEARCH("Functioning",H224)))</formula>
    </cfRule>
  </conditionalFormatting>
  <conditionalFormatting sqref="I224">
    <cfRule type="beginsWith" dxfId="1121" priority="1844" stopIfTrue="1" operator="beginsWith" text="Functioning At Risk">
      <formula>LEFT(I224,LEN("Functioning At Risk"))="Functioning At Risk"</formula>
    </cfRule>
    <cfRule type="beginsWith" dxfId="1120" priority="1845" stopIfTrue="1" operator="beginsWith" text="Not Functioning">
      <formula>LEFT(I224,LEN("Not Functioning"))="Not Functioning"</formula>
    </cfRule>
    <cfRule type="containsText" dxfId="1119" priority="1846" operator="containsText" text="Functioning">
      <formula>NOT(ISERROR(SEARCH("Functioning",I224)))</formula>
    </cfRule>
  </conditionalFormatting>
  <conditionalFormatting sqref="D232">
    <cfRule type="beginsWith" dxfId="1118" priority="1840" stopIfTrue="1" operator="beginsWith" text="Functioning At Risk">
      <formula>LEFT(D232,LEN("Functioning At Risk"))="Functioning At Risk"</formula>
    </cfRule>
    <cfRule type="beginsWith" dxfId="1117" priority="1841" stopIfTrue="1" operator="beginsWith" text="Not Functioning">
      <formula>LEFT(D232,LEN("Not Functioning"))="Not Functioning"</formula>
    </cfRule>
    <cfRule type="containsText" dxfId="1116" priority="1842" operator="containsText" text="Functioning">
      <formula>NOT(ISERROR(SEARCH("Functioning",D232)))</formula>
    </cfRule>
  </conditionalFormatting>
  <conditionalFormatting sqref="D233">
    <cfRule type="beginsWith" dxfId="1115" priority="1837" stopIfTrue="1" operator="beginsWith" text="Functioning At Risk">
      <formula>LEFT(D233,LEN("Functioning At Risk"))="Functioning At Risk"</formula>
    </cfRule>
    <cfRule type="beginsWith" dxfId="1114" priority="1838" stopIfTrue="1" operator="beginsWith" text="Not Functioning">
      <formula>LEFT(D233,LEN("Not Functioning"))="Not Functioning"</formula>
    </cfRule>
    <cfRule type="containsText" dxfId="1113" priority="1839" operator="containsText" text="Functioning">
      <formula>NOT(ISERROR(SEARCH("Functioning",D233)))</formula>
    </cfRule>
  </conditionalFormatting>
  <conditionalFormatting sqref="B232">
    <cfRule type="beginsWith" dxfId="1112" priority="1834" stopIfTrue="1" operator="beginsWith" text="Functioning At Risk">
      <formula>LEFT(B232,LEN("Functioning At Risk"))="Functioning At Risk"</formula>
    </cfRule>
    <cfRule type="beginsWith" dxfId="1111" priority="1835" stopIfTrue="1" operator="beginsWith" text="Not Functioning">
      <formula>LEFT(B232,LEN("Not Functioning"))="Not Functioning"</formula>
    </cfRule>
    <cfRule type="containsText" dxfId="1110" priority="1836" operator="containsText" text="Functioning">
      <formula>NOT(ISERROR(SEARCH("Functioning",B232)))</formula>
    </cfRule>
  </conditionalFormatting>
  <conditionalFormatting sqref="F232:F233">
    <cfRule type="beginsWith" dxfId="1109" priority="1824" stopIfTrue="1" operator="beginsWith" text="Functioning At Risk">
      <formula>LEFT(F232,LEN("Functioning At Risk"))="Functioning At Risk"</formula>
    </cfRule>
    <cfRule type="beginsWith" dxfId="1108" priority="1825" stopIfTrue="1" operator="beginsWith" text="Not Functioning">
      <formula>LEFT(F232,LEN("Not Functioning"))="Not Functioning"</formula>
    </cfRule>
    <cfRule type="containsText" dxfId="1107" priority="1826" operator="containsText" text="Functioning">
      <formula>NOT(ISERROR(SEARCH("Functioning",F232)))</formula>
    </cfRule>
  </conditionalFormatting>
  <conditionalFormatting sqref="D313">
    <cfRule type="beginsWith" dxfId="1106" priority="1659" stopIfTrue="1" operator="beginsWith" text="Functioning At Risk">
      <formula>LEFT(D313,LEN("Functioning At Risk"))="Functioning At Risk"</formula>
    </cfRule>
    <cfRule type="beginsWith" dxfId="1105" priority="1660" stopIfTrue="1" operator="beginsWith" text="Not Functioning">
      <formula>LEFT(D313,LEN("Not Functioning"))="Not Functioning"</formula>
    </cfRule>
    <cfRule type="containsText" dxfId="1104" priority="1661" operator="containsText" text="Functioning">
      <formula>NOT(ISERROR(SEARCH("Functioning",D313)))</formula>
    </cfRule>
  </conditionalFormatting>
  <conditionalFormatting sqref="B312">
    <cfRule type="beginsWith" dxfId="1103" priority="1656" stopIfTrue="1" operator="beginsWith" text="Functioning At Risk">
      <formula>LEFT(B312,LEN("Functioning At Risk"))="Functioning At Risk"</formula>
    </cfRule>
    <cfRule type="beginsWith" dxfId="1102" priority="1657" stopIfTrue="1" operator="beginsWith" text="Not Functioning">
      <formula>LEFT(B312,LEN("Not Functioning"))="Not Functioning"</formula>
    </cfRule>
    <cfRule type="containsText" dxfId="1101" priority="1658" operator="containsText" text="Functioning">
      <formula>NOT(ISERROR(SEARCH("Functioning",B312)))</formula>
    </cfRule>
  </conditionalFormatting>
  <conditionalFormatting sqref="F228:F231">
    <cfRule type="beginsWith" dxfId="1100" priority="1812" stopIfTrue="1" operator="beginsWith" text="Functioning At Risk">
      <formula>LEFT(F228,LEN("Functioning At Risk"))="Functioning At Risk"</formula>
    </cfRule>
    <cfRule type="beginsWith" dxfId="1099" priority="1813" stopIfTrue="1" operator="beginsWith" text="Not Functioning">
      <formula>LEFT(F228,LEN("Not Functioning"))="Not Functioning"</formula>
    </cfRule>
    <cfRule type="containsText" dxfId="1098" priority="1814" operator="containsText" text="Functioning">
      <formula>NOT(ISERROR(SEARCH("Functioning",F228)))</formula>
    </cfRule>
  </conditionalFormatting>
  <conditionalFormatting sqref="I268:I272 B266:B267 D256 B259 A243:B243 F263 F260 H245:I246 H243:I243 H238:K241 A245:B245 A268:A272 F248 D250:D252 F250:F252 B263:B264 A246 F243 F245:F246 D268:D271 D243:D248 D259:D263">
    <cfRule type="beginsWith" dxfId="1097" priority="1806" stopIfTrue="1" operator="beginsWith" text="Functioning At Risk">
      <formula>LEFT(A238,LEN("Functioning At Risk"))="Functioning At Risk"</formula>
    </cfRule>
    <cfRule type="beginsWith" dxfId="1096" priority="1807" stopIfTrue="1" operator="beginsWith" text="Not Functioning">
      <formula>LEFT(A238,LEN("Not Functioning"))="Not Functioning"</formula>
    </cfRule>
    <cfRule type="containsText" dxfId="1095" priority="1808" operator="containsText" text="Functioning">
      <formula>NOT(ISERROR(SEARCH("Functioning",A238)))</formula>
    </cfRule>
  </conditionalFormatting>
  <conditionalFormatting sqref="B247">
    <cfRule type="beginsWith" dxfId="1094" priority="1803" stopIfTrue="1" operator="beginsWith" text="Functioning At Risk">
      <formula>LEFT(B247,LEN("Functioning At Risk"))="Functioning At Risk"</formula>
    </cfRule>
    <cfRule type="beginsWith" dxfId="1093" priority="1804" stopIfTrue="1" operator="beginsWith" text="Not Functioning">
      <formula>LEFT(B247,LEN("Not Functioning"))="Not Functioning"</formula>
    </cfRule>
    <cfRule type="containsText" dxfId="1092" priority="1805" operator="containsText" text="Functioning">
      <formula>NOT(ISERROR(SEARCH("Functioning",B247)))</formula>
    </cfRule>
  </conditionalFormatting>
  <conditionalFormatting sqref="D253">
    <cfRule type="beginsWith" dxfId="1091" priority="1800" stopIfTrue="1" operator="beginsWith" text="Functioning At Risk">
      <formula>LEFT(D253,LEN("Functioning At Risk"))="Functioning At Risk"</formula>
    </cfRule>
    <cfRule type="beginsWith" dxfId="1090" priority="1801" stopIfTrue="1" operator="beginsWith" text="Not Functioning">
      <formula>LEFT(D253,LEN("Not Functioning"))="Not Functioning"</formula>
    </cfRule>
    <cfRule type="containsText" dxfId="1089" priority="1802" operator="containsText" text="Functioning">
      <formula>NOT(ISERROR(SEARCH("Functioning",D253)))</formula>
    </cfRule>
  </conditionalFormatting>
  <conditionalFormatting sqref="D257">
    <cfRule type="beginsWith" dxfId="1088" priority="1797" stopIfTrue="1" operator="beginsWith" text="Functioning At Risk">
      <formula>LEFT(D257,LEN("Functioning At Risk"))="Functioning At Risk"</formula>
    </cfRule>
    <cfRule type="beginsWith" dxfId="1087" priority="1798" stopIfTrue="1" operator="beginsWith" text="Not Functioning">
      <formula>LEFT(D257,LEN("Not Functioning"))="Not Functioning"</formula>
    </cfRule>
    <cfRule type="containsText" dxfId="1086" priority="1799" operator="containsText" text="Functioning">
      <formula>NOT(ISERROR(SEARCH("Functioning",D257)))</formula>
    </cfRule>
  </conditionalFormatting>
  <conditionalFormatting sqref="D258">
    <cfRule type="beginsWith" dxfId="1085" priority="1794" stopIfTrue="1" operator="beginsWith" text="Functioning At Risk">
      <formula>LEFT(D258,LEN("Functioning At Risk"))="Functioning At Risk"</formula>
    </cfRule>
    <cfRule type="beginsWith" dxfId="1084" priority="1795" stopIfTrue="1" operator="beginsWith" text="Not Functioning">
      <formula>LEFT(D258,LEN("Not Functioning"))="Not Functioning"</formula>
    </cfRule>
    <cfRule type="containsText" dxfId="1083" priority="1796" operator="containsText" text="Functioning">
      <formula>NOT(ISERROR(SEARCH("Functioning",D258)))</formula>
    </cfRule>
  </conditionalFormatting>
  <conditionalFormatting sqref="F253">
    <cfRule type="beginsWith" dxfId="1082" priority="1791" stopIfTrue="1" operator="beginsWith" text="Functioning At Risk">
      <formula>LEFT(F253,LEN("Functioning At Risk"))="Functioning At Risk"</formula>
    </cfRule>
    <cfRule type="beginsWith" dxfId="1081" priority="1792" stopIfTrue="1" operator="beginsWith" text="Not Functioning">
      <formula>LEFT(F253,LEN("Not Functioning"))="Not Functioning"</formula>
    </cfRule>
    <cfRule type="containsText" dxfId="1080" priority="1793" operator="containsText" text="Functioning">
      <formula>NOT(ISERROR(SEARCH("Functioning",F253)))</formula>
    </cfRule>
  </conditionalFormatting>
  <conditionalFormatting sqref="D254:D255 F254:F255">
    <cfRule type="beginsWith" dxfId="1079" priority="1770" stopIfTrue="1" operator="beginsWith" text="Functioning At Risk">
      <formula>LEFT(D254,LEN("Functioning At Risk"))="Functioning At Risk"</formula>
    </cfRule>
    <cfRule type="beginsWith" dxfId="1078" priority="1771" stopIfTrue="1" operator="beginsWith" text="Not Functioning">
      <formula>LEFT(D254,LEN("Not Functioning"))="Not Functioning"</formula>
    </cfRule>
    <cfRule type="containsText" dxfId="1077" priority="1772" operator="containsText" text="Functioning">
      <formula>NOT(ISERROR(SEARCH("Functioning",D254)))</formula>
    </cfRule>
  </conditionalFormatting>
  <conditionalFormatting sqref="A264">
    <cfRule type="beginsWith" dxfId="1076" priority="1761" stopIfTrue="1" operator="beginsWith" text="Functioning At Risk">
      <formula>LEFT(A264,LEN("Functioning At Risk"))="Functioning At Risk"</formula>
    </cfRule>
    <cfRule type="beginsWith" dxfId="1075" priority="1762" stopIfTrue="1" operator="beginsWith" text="Not Functioning">
      <formula>LEFT(A264,LEN("Not Functioning"))="Not Functioning"</formula>
    </cfRule>
    <cfRule type="containsText" dxfId="1074" priority="1763" operator="containsText" text="Functioning">
      <formula>NOT(ISERROR(SEARCH("Functioning",A264)))</formula>
    </cfRule>
  </conditionalFormatting>
  <conditionalFormatting sqref="H264">
    <cfRule type="beginsWith" dxfId="1073" priority="1758" stopIfTrue="1" operator="beginsWith" text="Functioning At Risk">
      <formula>LEFT(H264,LEN("Functioning At Risk"))="Functioning At Risk"</formula>
    </cfRule>
    <cfRule type="beginsWith" dxfId="1072" priority="1759" stopIfTrue="1" operator="beginsWith" text="Not Functioning">
      <formula>LEFT(H264,LEN("Not Functioning"))="Not Functioning"</formula>
    </cfRule>
    <cfRule type="containsText" dxfId="1071" priority="1760" operator="containsText" text="Functioning">
      <formula>NOT(ISERROR(SEARCH("Functioning",H264)))</formula>
    </cfRule>
  </conditionalFormatting>
  <conditionalFormatting sqref="I264">
    <cfRule type="beginsWith" dxfId="1070" priority="1755" stopIfTrue="1" operator="beginsWith" text="Functioning At Risk">
      <formula>LEFT(I264,LEN("Functioning At Risk"))="Functioning At Risk"</formula>
    </cfRule>
    <cfRule type="beginsWith" dxfId="1069" priority="1756" stopIfTrue="1" operator="beginsWith" text="Not Functioning">
      <formula>LEFT(I264,LEN("Not Functioning"))="Not Functioning"</formula>
    </cfRule>
    <cfRule type="containsText" dxfId="1068" priority="1757" operator="containsText" text="Functioning">
      <formula>NOT(ISERROR(SEARCH("Functioning",I264)))</formula>
    </cfRule>
  </conditionalFormatting>
  <conditionalFormatting sqref="D272">
    <cfRule type="beginsWith" dxfId="1067" priority="1751" stopIfTrue="1" operator="beginsWith" text="Functioning At Risk">
      <formula>LEFT(D272,LEN("Functioning At Risk"))="Functioning At Risk"</formula>
    </cfRule>
    <cfRule type="beginsWith" dxfId="1066" priority="1752" stopIfTrue="1" operator="beginsWith" text="Not Functioning">
      <formula>LEFT(D272,LEN("Not Functioning"))="Not Functioning"</formula>
    </cfRule>
    <cfRule type="containsText" dxfId="1065" priority="1753" operator="containsText" text="Functioning">
      <formula>NOT(ISERROR(SEARCH("Functioning",D272)))</formula>
    </cfRule>
  </conditionalFormatting>
  <conditionalFormatting sqref="D273">
    <cfRule type="beginsWith" dxfId="1064" priority="1748" stopIfTrue="1" operator="beginsWith" text="Functioning At Risk">
      <formula>LEFT(D273,LEN("Functioning At Risk"))="Functioning At Risk"</formula>
    </cfRule>
    <cfRule type="beginsWith" dxfId="1063" priority="1749" stopIfTrue="1" operator="beginsWith" text="Not Functioning">
      <formula>LEFT(D273,LEN("Not Functioning"))="Not Functioning"</formula>
    </cfRule>
    <cfRule type="containsText" dxfId="1062" priority="1750" operator="containsText" text="Functioning">
      <formula>NOT(ISERROR(SEARCH("Functioning",D273)))</formula>
    </cfRule>
  </conditionalFormatting>
  <conditionalFormatting sqref="B272">
    <cfRule type="beginsWith" dxfId="1061" priority="1745" stopIfTrue="1" operator="beginsWith" text="Functioning At Risk">
      <formula>LEFT(B272,LEN("Functioning At Risk"))="Functioning At Risk"</formula>
    </cfRule>
    <cfRule type="beginsWith" dxfId="1060" priority="1746" stopIfTrue="1" operator="beginsWith" text="Not Functioning">
      <formula>LEFT(B272,LEN("Not Functioning"))="Not Functioning"</formula>
    </cfRule>
    <cfRule type="containsText" dxfId="1059" priority="1747" operator="containsText" text="Functioning">
      <formula>NOT(ISERROR(SEARCH("Functioning",B272)))</formula>
    </cfRule>
  </conditionalFormatting>
  <conditionalFormatting sqref="F272:F273">
    <cfRule type="beginsWith" dxfId="1058" priority="1735" stopIfTrue="1" operator="beginsWith" text="Functioning At Risk">
      <formula>LEFT(F272,LEN("Functioning At Risk"))="Functioning At Risk"</formula>
    </cfRule>
    <cfRule type="beginsWith" dxfId="1057" priority="1736" stopIfTrue="1" operator="beginsWith" text="Not Functioning">
      <formula>LEFT(F272,LEN("Not Functioning"))="Not Functioning"</formula>
    </cfRule>
    <cfRule type="containsText" dxfId="1056" priority="1737" operator="containsText" text="Functioning">
      <formula>NOT(ISERROR(SEARCH("Functioning",F272)))</formula>
    </cfRule>
  </conditionalFormatting>
  <conditionalFormatting sqref="B250">
    <cfRule type="beginsWith" dxfId="1055" priority="1726" stopIfTrue="1" operator="beginsWith" text="Functioning At Risk">
      <formula>LEFT(B250,LEN("Functioning At Risk"))="Functioning At Risk"</formula>
    </cfRule>
    <cfRule type="beginsWith" dxfId="1054" priority="1727" stopIfTrue="1" operator="beginsWith" text="Not Functioning">
      <formula>LEFT(B250,LEN("Not Functioning"))="Not Functioning"</formula>
    </cfRule>
    <cfRule type="containsText" dxfId="1053" priority="1728" operator="containsText" text="Functioning">
      <formula>NOT(ISERROR(SEARCH("Functioning",B250)))</formula>
    </cfRule>
  </conditionalFormatting>
  <conditionalFormatting sqref="F268:F271">
    <cfRule type="beginsWith" dxfId="1052" priority="1723" stopIfTrue="1" operator="beginsWith" text="Functioning At Risk">
      <formula>LEFT(F268,LEN("Functioning At Risk"))="Functioning At Risk"</formula>
    </cfRule>
    <cfRule type="beginsWith" dxfId="1051" priority="1724" stopIfTrue="1" operator="beginsWith" text="Not Functioning">
      <formula>LEFT(F268,LEN("Not Functioning"))="Not Functioning"</formula>
    </cfRule>
    <cfRule type="containsText" dxfId="1050" priority="1725" operator="containsText" text="Functioning">
      <formula>NOT(ISERROR(SEARCH("Functioning",F268)))</formula>
    </cfRule>
  </conditionalFormatting>
  <conditionalFormatting sqref="I308:I312 B306:B307 D296 B299 A283:B283 F303 F300 H285:I286 H283:I283 H278:K281 A285:B285 A308:A312 F288 D290:D292 F290:F292 B303:B304 A286 F283 F285:F286 D308:D311 D283:D288 D299:D303">
    <cfRule type="beginsWith" dxfId="1049" priority="1717" stopIfTrue="1" operator="beginsWith" text="Functioning At Risk">
      <formula>LEFT(A278,LEN("Functioning At Risk"))="Functioning At Risk"</formula>
    </cfRule>
    <cfRule type="beginsWith" dxfId="1048" priority="1718" stopIfTrue="1" operator="beginsWith" text="Not Functioning">
      <formula>LEFT(A278,LEN("Not Functioning"))="Not Functioning"</formula>
    </cfRule>
    <cfRule type="containsText" dxfId="1047" priority="1719" operator="containsText" text="Functioning">
      <formula>NOT(ISERROR(SEARCH("Functioning",A278)))</formula>
    </cfRule>
  </conditionalFormatting>
  <conditionalFormatting sqref="B287">
    <cfRule type="beginsWith" dxfId="1046" priority="1714" stopIfTrue="1" operator="beginsWith" text="Functioning At Risk">
      <formula>LEFT(B287,LEN("Functioning At Risk"))="Functioning At Risk"</formula>
    </cfRule>
    <cfRule type="beginsWith" dxfId="1045" priority="1715" stopIfTrue="1" operator="beginsWith" text="Not Functioning">
      <formula>LEFT(B287,LEN("Not Functioning"))="Not Functioning"</formula>
    </cfRule>
    <cfRule type="containsText" dxfId="1044" priority="1716" operator="containsText" text="Functioning">
      <formula>NOT(ISERROR(SEARCH("Functioning",B287)))</formula>
    </cfRule>
  </conditionalFormatting>
  <conditionalFormatting sqref="D293">
    <cfRule type="beginsWith" dxfId="1043" priority="1711" stopIfTrue="1" operator="beginsWith" text="Functioning At Risk">
      <formula>LEFT(D293,LEN("Functioning At Risk"))="Functioning At Risk"</formula>
    </cfRule>
    <cfRule type="beginsWith" dxfId="1042" priority="1712" stopIfTrue="1" operator="beginsWith" text="Not Functioning">
      <formula>LEFT(D293,LEN("Not Functioning"))="Not Functioning"</formula>
    </cfRule>
    <cfRule type="containsText" dxfId="1041" priority="1713" operator="containsText" text="Functioning">
      <formula>NOT(ISERROR(SEARCH("Functioning",D293)))</formula>
    </cfRule>
  </conditionalFormatting>
  <conditionalFormatting sqref="D297">
    <cfRule type="beginsWith" dxfId="1040" priority="1708" stopIfTrue="1" operator="beginsWith" text="Functioning At Risk">
      <formula>LEFT(D297,LEN("Functioning At Risk"))="Functioning At Risk"</formula>
    </cfRule>
    <cfRule type="beginsWith" dxfId="1039" priority="1709" stopIfTrue="1" operator="beginsWith" text="Not Functioning">
      <formula>LEFT(D297,LEN("Not Functioning"))="Not Functioning"</formula>
    </cfRule>
    <cfRule type="containsText" dxfId="1038" priority="1710" operator="containsText" text="Functioning">
      <formula>NOT(ISERROR(SEARCH("Functioning",D297)))</formula>
    </cfRule>
  </conditionalFormatting>
  <conditionalFormatting sqref="D298">
    <cfRule type="beginsWith" dxfId="1037" priority="1705" stopIfTrue="1" operator="beginsWith" text="Functioning At Risk">
      <formula>LEFT(D298,LEN("Functioning At Risk"))="Functioning At Risk"</formula>
    </cfRule>
    <cfRule type="beginsWith" dxfId="1036" priority="1706" stopIfTrue="1" operator="beginsWith" text="Not Functioning">
      <formula>LEFT(D298,LEN("Not Functioning"))="Not Functioning"</formula>
    </cfRule>
    <cfRule type="containsText" dxfId="1035" priority="1707" operator="containsText" text="Functioning">
      <formula>NOT(ISERROR(SEARCH("Functioning",D298)))</formula>
    </cfRule>
  </conditionalFormatting>
  <conditionalFormatting sqref="F293">
    <cfRule type="beginsWith" dxfId="1034" priority="1702" stopIfTrue="1" operator="beginsWith" text="Functioning At Risk">
      <formula>LEFT(F293,LEN("Functioning At Risk"))="Functioning At Risk"</formula>
    </cfRule>
    <cfRule type="beginsWith" dxfId="1033" priority="1703" stopIfTrue="1" operator="beginsWith" text="Not Functioning">
      <formula>LEFT(F293,LEN("Not Functioning"))="Not Functioning"</formula>
    </cfRule>
    <cfRule type="containsText" dxfId="1032" priority="1704" operator="containsText" text="Functioning">
      <formula>NOT(ISERROR(SEARCH("Functioning",F293)))</formula>
    </cfRule>
  </conditionalFormatting>
  <conditionalFormatting sqref="D294:D295 F294:F295">
    <cfRule type="beginsWith" dxfId="1031" priority="1681" stopIfTrue="1" operator="beginsWith" text="Functioning At Risk">
      <formula>LEFT(D294,LEN("Functioning At Risk"))="Functioning At Risk"</formula>
    </cfRule>
    <cfRule type="beginsWith" dxfId="1030" priority="1682" stopIfTrue="1" operator="beginsWith" text="Not Functioning">
      <formula>LEFT(D294,LEN("Not Functioning"))="Not Functioning"</formula>
    </cfRule>
    <cfRule type="containsText" dxfId="1029" priority="1683" operator="containsText" text="Functioning">
      <formula>NOT(ISERROR(SEARCH("Functioning",D294)))</formula>
    </cfRule>
  </conditionalFormatting>
  <conditionalFormatting sqref="B352">
    <cfRule type="beginsWith" dxfId="1028" priority="1567" stopIfTrue="1" operator="beginsWith" text="Functioning At Risk">
      <formula>LEFT(B352,LEN("Functioning At Risk"))="Functioning At Risk"</formula>
    </cfRule>
    <cfRule type="beginsWith" dxfId="1027" priority="1568" stopIfTrue="1" operator="beginsWith" text="Not Functioning">
      <formula>LEFT(B352,LEN("Not Functioning"))="Not Functioning"</formula>
    </cfRule>
    <cfRule type="containsText" dxfId="1026" priority="1569" operator="containsText" text="Functioning">
      <formula>NOT(ISERROR(SEARCH("Functioning",B352)))</formula>
    </cfRule>
  </conditionalFormatting>
  <conditionalFormatting sqref="A304">
    <cfRule type="beginsWith" dxfId="1025" priority="1672" stopIfTrue="1" operator="beginsWith" text="Functioning At Risk">
      <formula>LEFT(A304,LEN("Functioning At Risk"))="Functioning At Risk"</formula>
    </cfRule>
    <cfRule type="beginsWith" dxfId="1024" priority="1673" stopIfTrue="1" operator="beginsWith" text="Not Functioning">
      <formula>LEFT(A304,LEN("Not Functioning"))="Not Functioning"</formula>
    </cfRule>
    <cfRule type="containsText" dxfId="1023" priority="1674" operator="containsText" text="Functioning">
      <formula>NOT(ISERROR(SEARCH("Functioning",A304)))</formula>
    </cfRule>
  </conditionalFormatting>
  <conditionalFormatting sqref="H304">
    <cfRule type="beginsWith" dxfId="1022" priority="1669" stopIfTrue="1" operator="beginsWith" text="Functioning At Risk">
      <formula>LEFT(H304,LEN("Functioning At Risk"))="Functioning At Risk"</formula>
    </cfRule>
    <cfRule type="beginsWith" dxfId="1021" priority="1670" stopIfTrue="1" operator="beginsWith" text="Not Functioning">
      <formula>LEFT(H304,LEN("Not Functioning"))="Not Functioning"</formula>
    </cfRule>
    <cfRule type="containsText" dxfId="1020" priority="1671" operator="containsText" text="Functioning">
      <formula>NOT(ISERROR(SEARCH("Functioning",H304)))</formula>
    </cfRule>
  </conditionalFormatting>
  <conditionalFormatting sqref="I304">
    <cfRule type="beginsWith" dxfId="1019" priority="1666" stopIfTrue="1" operator="beginsWith" text="Functioning At Risk">
      <formula>LEFT(I304,LEN("Functioning At Risk"))="Functioning At Risk"</formula>
    </cfRule>
    <cfRule type="beginsWith" dxfId="1018" priority="1667" stopIfTrue="1" operator="beginsWith" text="Not Functioning">
      <formula>LEFT(I304,LEN("Not Functioning"))="Not Functioning"</formula>
    </cfRule>
    <cfRule type="containsText" dxfId="1017" priority="1668" operator="containsText" text="Functioning">
      <formula>NOT(ISERROR(SEARCH("Functioning",I304)))</formula>
    </cfRule>
  </conditionalFormatting>
  <conditionalFormatting sqref="D312">
    <cfRule type="beginsWith" dxfId="1016" priority="1662" stopIfTrue="1" operator="beginsWith" text="Functioning At Risk">
      <formula>LEFT(D312,LEN("Functioning At Risk"))="Functioning At Risk"</formula>
    </cfRule>
    <cfRule type="beginsWith" dxfId="1015" priority="1663" stopIfTrue="1" operator="beginsWith" text="Not Functioning">
      <formula>LEFT(D312,LEN("Not Functioning"))="Not Functioning"</formula>
    </cfRule>
    <cfRule type="containsText" dxfId="1014" priority="1664" operator="containsText" text="Functioning">
      <formula>NOT(ISERROR(SEARCH("Functioning",D312)))</formula>
    </cfRule>
  </conditionalFormatting>
  <conditionalFormatting sqref="F312:F313">
    <cfRule type="beginsWith" dxfId="1013" priority="1646" stopIfTrue="1" operator="beginsWith" text="Functioning At Risk">
      <formula>LEFT(F312,LEN("Functioning At Risk"))="Functioning At Risk"</formula>
    </cfRule>
    <cfRule type="beginsWith" dxfId="1012" priority="1647" stopIfTrue="1" operator="beginsWith" text="Not Functioning">
      <formula>LEFT(F312,LEN("Not Functioning"))="Not Functioning"</formula>
    </cfRule>
    <cfRule type="containsText" dxfId="1011" priority="1648" operator="containsText" text="Functioning">
      <formula>NOT(ISERROR(SEARCH("Functioning",F312)))</formula>
    </cfRule>
  </conditionalFormatting>
  <conditionalFormatting sqref="B290">
    <cfRule type="beginsWith" dxfId="1010" priority="1637" stopIfTrue="1" operator="beginsWith" text="Functioning At Risk">
      <formula>LEFT(B290,LEN("Functioning At Risk"))="Functioning At Risk"</formula>
    </cfRule>
    <cfRule type="beginsWith" dxfId="1009" priority="1638" stopIfTrue="1" operator="beginsWith" text="Not Functioning">
      <formula>LEFT(B290,LEN("Not Functioning"))="Not Functioning"</formula>
    </cfRule>
    <cfRule type="containsText" dxfId="1008" priority="1639" operator="containsText" text="Functioning">
      <formula>NOT(ISERROR(SEARCH("Functioning",B290)))</formula>
    </cfRule>
  </conditionalFormatting>
  <conditionalFormatting sqref="F308:F311">
    <cfRule type="beginsWith" dxfId="1007" priority="1634" stopIfTrue="1" operator="beginsWith" text="Functioning At Risk">
      <formula>LEFT(F308,LEN("Functioning At Risk"))="Functioning At Risk"</formula>
    </cfRule>
    <cfRule type="beginsWith" dxfId="1006" priority="1635" stopIfTrue="1" operator="beginsWith" text="Not Functioning">
      <formula>LEFT(F308,LEN("Not Functioning"))="Not Functioning"</formula>
    </cfRule>
    <cfRule type="containsText" dxfId="1005" priority="1636" operator="containsText" text="Functioning">
      <formula>NOT(ISERROR(SEARCH("Functioning",F308)))</formula>
    </cfRule>
  </conditionalFormatting>
  <conditionalFormatting sqref="I348:I352 B346:B347 D336 B339 A323:B323 F343 F340 H325:I326 H323:I323 H318:K321 A325:B325 A348:A352 F328 D330:D332 F330:F332 B343:B344 A326 F323 F325:F326 D348:D351 D323:D328 D339:D343">
    <cfRule type="beginsWith" dxfId="1004" priority="1628" stopIfTrue="1" operator="beginsWith" text="Functioning At Risk">
      <formula>LEFT(A318,LEN("Functioning At Risk"))="Functioning At Risk"</formula>
    </cfRule>
    <cfRule type="beginsWith" dxfId="1003" priority="1629" stopIfTrue="1" operator="beginsWith" text="Not Functioning">
      <formula>LEFT(A318,LEN("Not Functioning"))="Not Functioning"</formula>
    </cfRule>
    <cfRule type="containsText" dxfId="1002" priority="1630" operator="containsText" text="Functioning">
      <formula>NOT(ISERROR(SEARCH("Functioning",A318)))</formula>
    </cfRule>
  </conditionalFormatting>
  <conditionalFormatting sqref="B327">
    <cfRule type="beginsWith" dxfId="1001" priority="1625" stopIfTrue="1" operator="beginsWith" text="Functioning At Risk">
      <formula>LEFT(B327,LEN("Functioning At Risk"))="Functioning At Risk"</formula>
    </cfRule>
    <cfRule type="beginsWith" dxfId="1000" priority="1626" stopIfTrue="1" operator="beginsWith" text="Not Functioning">
      <formula>LEFT(B327,LEN("Not Functioning"))="Not Functioning"</formula>
    </cfRule>
    <cfRule type="containsText" dxfId="999" priority="1627" operator="containsText" text="Functioning">
      <formula>NOT(ISERROR(SEARCH("Functioning",B327)))</formula>
    </cfRule>
  </conditionalFormatting>
  <conditionalFormatting sqref="D333">
    <cfRule type="beginsWith" dxfId="998" priority="1622" stopIfTrue="1" operator="beginsWith" text="Functioning At Risk">
      <formula>LEFT(D333,LEN("Functioning At Risk"))="Functioning At Risk"</formula>
    </cfRule>
    <cfRule type="beginsWith" dxfId="997" priority="1623" stopIfTrue="1" operator="beginsWith" text="Not Functioning">
      <formula>LEFT(D333,LEN("Not Functioning"))="Not Functioning"</formula>
    </cfRule>
    <cfRule type="containsText" dxfId="996" priority="1624" operator="containsText" text="Functioning">
      <formula>NOT(ISERROR(SEARCH("Functioning",D333)))</formula>
    </cfRule>
  </conditionalFormatting>
  <conditionalFormatting sqref="D337">
    <cfRule type="beginsWith" dxfId="995" priority="1619" stopIfTrue="1" operator="beginsWith" text="Functioning At Risk">
      <formula>LEFT(D337,LEN("Functioning At Risk"))="Functioning At Risk"</formula>
    </cfRule>
    <cfRule type="beginsWith" dxfId="994" priority="1620" stopIfTrue="1" operator="beginsWith" text="Not Functioning">
      <formula>LEFT(D337,LEN("Not Functioning"))="Not Functioning"</formula>
    </cfRule>
    <cfRule type="containsText" dxfId="993" priority="1621" operator="containsText" text="Functioning">
      <formula>NOT(ISERROR(SEARCH("Functioning",D337)))</formula>
    </cfRule>
  </conditionalFormatting>
  <conditionalFormatting sqref="D338">
    <cfRule type="beginsWith" dxfId="992" priority="1616" stopIfTrue="1" operator="beginsWith" text="Functioning At Risk">
      <formula>LEFT(D338,LEN("Functioning At Risk"))="Functioning At Risk"</formula>
    </cfRule>
    <cfRule type="beginsWith" dxfId="991" priority="1617" stopIfTrue="1" operator="beginsWith" text="Not Functioning">
      <formula>LEFT(D338,LEN("Not Functioning"))="Not Functioning"</formula>
    </cfRule>
    <cfRule type="containsText" dxfId="990" priority="1618" operator="containsText" text="Functioning">
      <formula>NOT(ISERROR(SEARCH("Functioning",D338)))</formula>
    </cfRule>
  </conditionalFormatting>
  <conditionalFormatting sqref="F333">
    <cfRule type="beginsWith" dxfId="989" priority="1613" stopIfTrue="1" operator="beginsWith" text="Functioning At Risk">
      <formula>LEFT(F333,LEN("Functioning At Risk"))="Functioning At Risk"</formula>
    </cfRule>
    <cfRule type="beginsWith" dxfId="988" priority="1614" stopIfTrue="1" operator="beginsWith" text="Not Functioning">
      <formula>LEFT(F333,LEN("Not Functioning"))="Not Functioning"</formula>
    </cfRule>
    <cfRule type="containsText" dxfId="987" priority="1615" operator="containsText" text="Functioning">
      <formula>NOT(ISERROR(SEARCH("Functioning",F333)))</formula>
    </cfRule>
  </conditionalFormatting>
  <conditionalFormatting sqref="D334:D335 F334:F335">
    <cfRule type="beginsWith" dxfId="986" priority="1592" stopIfTrue="1" operator="beginsWith" text="Functioning At Risk">
      <formula>LEFT(D334,LEN("Functioning At Risk"))="Functioning At Risk"</formula>
    </cfRule>
    <cfRule type="beginsWith" dxfId="985" priority="1593" stopIfTrue="1" operator="beginsWith" text="Not Functioning">
      <formula>LEFT(D334,LEN("Not Functioning"))="Not Functioning"</formula>
    </cfRule>
    <cfRule type="containsText" dxfId="984" priority="1594" operator="containsText" text="Functioning">
      <formula>NOT(ISERROR(SEARCH("Functioning",D334)))</formula>
    </cfRule>
  </conditionalFormatting>
  <conditionalFormatting sqref="A344">
    <cfRule type="beginsWith" dxfId="983" priority="1583" stopIfTrue="1" operator="beginsWith" text="Functioning At Risk">
      <formula>LEFT(A344,LEN("Functioning At Risk"))="Functioning At Risk"</formula>
    </cfRule>
    <cfRule type="beginsWith" dxfId="982" priority="1584" stopIfTrue="1" operator="beginsWith" text="Not Functioning">
      <formula>LEFT(A344,LEN("Not Functioning"))="Not Functioning"</formula>
    </cfRule>
    <cfRule type="containsText" dxfId="981" priority="1585" operator="containsText" text="Functioning">
      <formula>NOT(ISERROR(SEARCH("Functioning",A344)))</formula>
    </cfRule>
  </conditionalFormatting>
  <conditionalFormatting sqref="H344">
    <cfRule type="beginsWith" dxfId="980" priority="1580" stopIfTrue="1" operator="beginsWith" text="Functioning At Risk">
      <formula>LEFT(H344,LEN("Functioning At Risk"))="Functioning At Risk"</formula>
    </cfRule>
    <cfRule type="beginsWith" dxfId="979" priority="1581" stopIfTrue="1" operator="beginsWith" text="Not Functioning">
      <formula>LEFT(H344,LEN("Not Functioning"))="Not Functioning"</formula>
    </cfRule>
    <cfRule type="containsText" dxfId="978" priority="1582" operator="containsText" text="Functioning">
      <formula>NOT(ISERROR(SEARCH("Functioning",H344)))</formula>
    </cfRule>
  </conditionalFormatting>
  <conditionalFormatting sqref="I344">
    <cfRule type="beginsWith" dxfId="977" priority="1577" stopIfTrue="1" operator="beginsWith" text="Functioning At Risk">
      <formula>LEFT(I344,LEN("Functioning At Risk"))="Functioning At Risk"</formula>
    </cfRule>
    <cfRule type="beginsWith" dxfId="976" priority="1578" stopIfTrue="1" operator="beginsWith" text="Not Functioning">
      <formula>LEFT(I344,LEN("Not Functioning"))="Not Functioning"</formula>
    </cfRule>
    <cfRule type="containsText" dxfId="975" priority="1579" operator="containsText" text="Functioning">
      <formula>NOT(ISERROR(SEARCH("Functioning",I344)))</formula>
    </cfRule>
  </conditionalFormatting>
  <conditionalFormatting sqref="D352">
    <cfRule type="beginsWith" dxfId="974" priority="1573" stopIfTrue="1" operator="beginsWith" text="Functioning At Risk">
      <formula>LEFT(D352,LEN("Functioning At Risk"))="Functioning At Risk"</formula>
    </cfRule>
    <cfRule type="beginsWith" dxfId="973" priority="1574" stopIfTrue="1" operator="beginsWith" text="Not Functioning">
      <formula>LEFT(D352,LEN("Not Functioning"))="Not Functioning"</formula>
    </cfRule>
    <cfRule type="containsText" dxfId="972" priority="1575" operator="containsText" text="Functioning">
      <formula>NOT(ISERROR(SEARCH("Functioning",D352)))</formula>
    </cfRule>
  </conditionalFormatting>
  <conditionalFormatting sqref="D353">
    <cfRule type="beginsWith" dxfId="971" priority="1570" stopIfTrue="1" operator="beginsWith" text="Functioning At Risk">
      <formula>LEFT(D353,LEN("Functioning At Risk"))="Functioning At Risk"</formula>
    </cfRule>
    <cfRule type="beginsWith" dxfId="970" priority="1571" stopIfTrue="1" operator="beginsWith" text="Not Functioning">
      <formula>LEFT(D353,LEN("Not Functioning"))="Not Functioning"</formula>
    </cfRule>
    <cfRule type="containsText" dxfId="969" priority="1572" operator="containsText" text="Functioning">
      <formula>NOT(ISERROR(SEARCH("Functioning",D353)))</formula>
    </cfRule>
  </conditionalFormatting>
  <conditionalFormatting sqref="F352:F353">
    <cfRule type="beginsWith" dxfId="968" priority="1557" stopIfTrue="1" operator="beginsWith" text="Functioning At Risk">
      <formula>LEFT(F352,LEN("Functioning At Risk"))="Functioning At Risk"</formula>
    </cfRule>
    <cfRule type="beginsWith" dxfId="967" priority="1558" stopIfTrue="1" operator="beginsWith" text="Not Functioning">
      <formula>LEFT(F352,LEN("Not Functioning"))="Not Functioning"</formula>
    </cfRule>
    <cfRule type="containsText" dxfId="966" priority="1559" operator="containsText" text="Functioning">
      <formula>NOT(ISERROR(SEARCH("Functioning",F352)))</formula>
    </cfRule>
  </conditionalFormatting>
  <conditionalFormatting sqref="B330">
    <cfRule type="beginsWith" dxfId="965" priority="1548" stopIfTrue="1" operator="beginsWith" text="Functioning At Risk">
      <formula>LEFT(B330,LEN("Functioning At Risk"))="Functioning At Risk"</formula>
    </cfRule>
    <cfRule type="beginsWith" dxfId="964" priority="1549" stopIfTrue="1" operator="beginsWith" text="Not Functioning">
      <formula>LEFT(B330,LEN("Not Functioning"))="Not Functioning"</formula>
    </cfRule>
    <cfRule type="containsText" dxfId="963" priority="1550" operator="containsText" text="Functioning">
      <formula>NOT(ISERROR(SEARCH("Functioning",B330)))</formula>
    </cfRule>
  </conditionalFormatting>
  <conditionalFormatting sqref="F348:F351">
    <cfRule type="beginsWith" dxfId="962" priority="1545" stopIfTrue="1" operator="beginsWith" text="Functioning At Risk">
      <formula>LEFT(F348,LEN("Functioning At Risk"))="Functioning At Risk"</formula>
    </cfRule>
    <cfRule type="beginsWith" dxfId="961" priority="1546" stopIfTrue="1" operator="beginsWith" text="Not Functioning">
      <formula>LEFT(F348,LEN("Not Functioning"))="Not Functioning"</formula>
    </cfRule>
    <cfRule type="containsText" dxfId="960" priority="1547" operator="containsText" text="Functioning">
      <formula>NOT(ISERROR(SEARCH("Functioning",F348)))</formula>
    </cfRule>
  </conditionalFormatting>
  <conditionalFormatting sqref="I388:I392 B386:B387 D376 B379 A363:B363 F383 F380 H365:I366 H363:I363 H358:K361 A365:B365 A388:A392 F368 D370:D372 F370:F372 B383:B384 A366 F363 F365:F366 D388:D391 D363:D368 D379:D383">
    <cfRule type="beginsWith" dxfId="959" priority="1539" stopIfTrue="1" operator="beginsWith" text="Functioning At Risk">
      <formula>LEFT(A358,LEN("Functioning At Risk"))="Functioning At Risk"</formula>
    </cfRule>
    <cfRule type="beginsWith" dxfId="958" priority="1540" stopIfTrue="1" operator="beginsWith" text="Not Functioning">
      <formula>LEFT(A358,LEN("Not Functioning"))="Not Functioning"</formula>
    </cfRule>
    <cfRule type="containsText" dxfId="957" priority="1541" operator="containsText" text="Functioning">
      <formula>NOT(ISERROR(SEARCH("Functioning",A358)))</formula>
    </cfRule>
  </conditionalFormatting>
  <conditionalFormatting sqref="B367">
    <cfRule type="beginsWith" dxfId="956" priority="1536" stopIfTrue="1" operator="beginsWith" text="Functioning At Risk">
      <formula>LEFT(B367,LEN("Functioning At Risk"))="Functioning At Risk"</formula>
    </cfRule>
    <cfRule type="beginsWith" dxfId="955" priority="1537" stopIfTrue="1" operator="beginsWith" text="Not Functioning">
      <formula>LEFT(B367,LEN("Not Functioning"))="Not Functioning"</formula>
    </cfRule>
    <cfRule type="containsText" dxfId="954" priority="1538" operator="containsText" text="Functioning">
      <formula>NOT(ISERROR(SEARCH("Functioning",B367)))</formula>
    </cfRule>
  </conditionalFormatting>
  <conditionalFormatting sqref="D373">
    <cfRule type="beginsWith" dxfId="953" priority="1533" stopIfTrue="1" operator="beginsWith" text="Functioning At Risk">
      <formula>LEFT(D373,LEN("Functioning At Risk"))="Functioning At Risk"</formula>
    </cfRule>
    <cfRule type="beginsWith" dxfId="952" priority="1534" stopIfTrue="1" operator="beginsWith" text="Not Functioning">
      <formula>LEFT(D373,LEN("Not Functioning"))="Not Functioning"</formula>
    </cfRule>
    <cfRule type="containsText" dxfId="951" priority="1535" operator="containsText" text="Functioning">
      <formula>NOT(ISERROR(SEARCH("Functioning",D373)))</formula>
    </cfRule>
  </conditionalFormatting>
  <conditionalFormatting sqref="D377">
    <cfRule type="beginsWith" dxfId="950" priority="1530" stopIfTrue="1" operator="beginsWith" text="Functioning At Risk">
      <formula>LEFT(D377,LEN("Functioning At Risk"))="Functioning At Risk"</formula>
    </cfRule>
    <cfRule type="beginsWith" dxfId="949" priority="1531" stopIfTrue="1" operator="beginsWith" text="Not Functioning">
      <formula>LEFT(D377,LEN("Not Functioning"))="Not Functioning"</formula>
    </cfRule>
    <cfRule type="containsText" dxfId="948" priority="1532" operator="containsText" text="Functioning">
      <formula>NOT(ISERROR(SEARCH("Functioning",D377)))</formula>
    </cfRule>
  </conditionalFormatting>
  <conditionalFormatting sqref="D378">
    <cfRule type="beginsWith" dxfId="947" priority="1527" stopIfTrue="1" operator="beginsWith" text="Functioning At Risk">
      <formula>LEFT(D378,LEN("Functioning At Risk"))="Functioning At Risk"</formula>
    </cfRule>
    <cfRule type="beginsWith" dxfId="946" priority="1528" stopIfTrue="1" operator="beginsWith" text="Not Functioning">
      <formula>LEFT(D378,LEN("Not Functioning"))="Not Functioning"</formula>
    </cfRule>
    <cfRule type="containsText" dxfId="945" priority="1529" operator="containsText" text="Functioning">
      <formula>NOT(ISERROR(SEARCH("Functioning",D378)))</formula>
    </cfRule>
  </conditionalFormatting>
  <conditionalFormatting sqref="F373">
    <cfRule type="beginsWith" dxfId="944" priority="1524" stopIfTrue="1" operator="beginsWith" text="Functioning At Risk">
      <formula>LEFT(F373,LEN("Functioning At Risk"))="Functioning At Risk"</formula>
    </cfRule>
    <cfRule type="beginsWith" dxfId="943" priority="1525" stopIfTrue="1" operator="beginsWith" text="Not Functioning">
      <formula>LEFT(F373,LEN("Not Functioning"))="Not Functioning"</formula>
    </cfRule>
    <cfRule type="containsText" dxfId="942" priority="1526" operator="containsText" text="Functioning">
      <formula>NOT(ISERROR(SEARCH("Functioning",F373)))</formula>
    </cfRule>
  </conditionalFormatting>
  <conditionalFormatting sqref="D374:D375 F374:F375">
    <cfRule type="beginsWith" dxfId="941" priority="1503" stopIfTrue="1" operator="beginsWith" text="Functioning At Risk">
      <formula>LEFT(D374,LEN("Functioning At Risk"))="Functioning At Risk"</formula>
    </cfRule>
    <cfRule type="beginsWith" dxfId="940" priority="1504" stopIfTrue="1" operator="beginsWith" text="Not Functioning">
      <formula>LEFT(D374,LEN("Not Functioning"))="Not Functioning"</formula>
    </cfRule>
    <cfRule type="containsText" dxfId="939" priority="1505" operator="containsText" text="Functioning">
      <formula>NOT(ISERROR(SEARCH("Functioning",D374)))</formula>
    </cfRule>
  </conditionalFormatting>
  <conditionalFormatting sqref="A384">
    <cfRule type="beginsWith" dxfId="938" priority="1494" stopIfTrue="1" operator="beginsWith" text="Functioning At Risk">
      <formula>LEFT(A384,LEN("Functioning At Risk"))="Functioning At Risk"</formula>
    </cfRule>
    <cfRule type="beginsWith" dxfId="937" priority="1495" stopIfTrue="1" operator="beginsWith" text="Not Functioning">
      <formula>LEFT(A384,LEN("Not Functioning"))="Not Functioning"</formula>
    </cfRule>
    <cfRule type="containsText" dxfId="936" priority="1496" operator="containsText" text="Functioning">
      <formula>NOT(ISERROR(SEARCH("Functioning",A384)))</formula>
    </cfRule>
  </conditionalFormatting>
  <conditionalFormatting sqref="H384">
    <cfRule type="beginsWith" dxfId="935" priority="1491" stopIfTrue="1" operator="beginsWith" text="Functioning At Risk">
      <formula>LEFT(H384,LEN("Functioning At Risk"))="Functioning At Risk"</formula>
    </cfRule>
    <cfRule type="beginsWith" dxfId="934" priority="1492" stopIfTrue="1" operator="beginsWith" text="Not Functioning">
      <formula>LEFT(H384,LEN("Not Functioning"))="Not Functioning"</formula>
    </cfRule>
    <cfRule type="containsText" dxfId="933" priority="1493" operator="containsText" text="Functioning">
      <formula>NOT(ISERROR(SEARCH("Functioning",H384)))</formula>
    </cfRule>
  </conditionalFormatting>
  <conditionalFormatting sqref="I384">
    <cfRule type="beginsWith" dxfId="932" priority="1488" stopIfTrue="1" operator="beginsWith" text="Functioning At Risk">
      <formula>LEFT(I384,LEN("Functioning At Risk"))="Functioning At Risk"</formula>
    </cfRule>
    <cfRule type="beginsWith" dxfId="931" priority="1489" stopIfTrue="1" operator="beginsWith" text="Not Functioning">
      <formula>LEFT(I384,LEN("Not Functioning"))="Not Functioning"</formula>
    </cfRule>
    <cfRule type="containsText" dxfId="930" priority="1490" operator="containsText" text="Functioning">
      <formula>NOT(ISERROR(SEARCH("Functioning",I384)))</formula>
    </cfRule>
  </conditionalFormatting>
  <conditionalFormatting sqref="D392">
    <cfRule type="beginsWith" dxfId="929" priority="1484" stopIfTrue="1" operator="beginsWith" text="Functioning At Risk">
      <formula>LEFT(D392,LEN("Functioning At Risk"))="Functioning At Risk"</formula>
    </cfRule>
    <cfRule type="beginsWith" dxfId="928" priority="1485" stopIfTrue="1" operator="beginsWith" text="Not Functioning">
      <formula>LEFT(D392,LEN("Not Functioning"))="Not Functioning"</formula>
    </cfRule>
    <cfRule type="containsText" dxfId="927" priority="1486" operator="containsText" text="Functioning">
      <formula>NOT(ISERROR(SEARCH("Functioning",D392)))</formula>
    </cfRule>
  </conditionalFormatting>
  <conditionalFormatting sqref="D393">
    <cfRule type="beginsWith" dxfId="926" priority="1481" stopIfTrue="1" operator="beginsWith" text="Functioning At Risk">
      <formula>LEFT(D393,LEN("Functioning At Risk"))="Functioning At Risk"</formula>
    </cfRule>
    <cfRule type="beginsWith" dxfId="925" priority="1482" stopIfTrue="1" operator="beginsWith" text="Not Functioning">
      <formula>LEFT(D393,LEN("Not Functioning"))="Not Functioning"</formula>
    </cfRule>
    <cfRule type="containsText" dxfId="924" priority="1483" operator="containsText" text="Functioning">
      <formula>NOT(ISERROR(SEARCH("Functioning",D393)))</formula>
    </cfRule>
  </conditionalFormatting>
  <conditionalFormatting sqref="B392">
    <cfRule type="beginsWith" dxfId="923" priority="1478" stopIfTrue="1" operator="beginsWith" text="Functioning At Risk">
      <formula>LEFT(B392,LEN("Functioning At Risk"))="Functioning At Risk"</formula>
    </cfRule>
    <cfRule type="beginsWith" dxfId="922" priority="1479" stopIfTrue="1" operator="beginsWith" text="Not Functioning">
      <formula>LEFT(B392,LEN("Not Functioning"))="Not Functioning"</formula>
    </cfRule>
    <cfRule type="containsText" dxfId="921" priority="1480" operator="containsText" text="Functioning">
      <formula>NOT(ISERROR(SEARCH("Functioning",B392)))</formula>
    </cfRule>
  </conditionalFormatting>
  <conditionalFormatting sqref="F392:F393">
    <cfRule type="beginsWith" dxfId="920" priority="1468" stopIfTrue="1" operator="beginsWith" text="Functioning At Risk">
      <formula>LEFT(F392,LEN("Functioning At Risk"))="Functioning At Risk"</formula>
    </cfRule>
    <cfRule type="beginsWith" dxfId="919" priority="1469" stopIfTrue="1" operator="beginsWith" text="Not Functioning">
      <formula>LEFT(F392,LEN("Not Functioning"))="Not Functioning"</formula>
    </cfRule>
    <cfRule type="containsText" dxfId="918" priority="1470" operator="containsText" text="Functioning">
      <formula>NOT(ISERROR(SEARCH("Functioning",F392)))</formula>
    </cfRule>
  </conditionalFormatting>
  <conditionalFormatting sqref="B370">
    <cfRule type="beginsWith" dxfId="917" priority="1459" stopIfTrue="1" operator="beginsWith" text="Functioning At Risk">
      <formula>LEFT(B370,LEN("Functioning At Risk"))="Functioning At Risk"</formula>
    </cfRule>
    <cfRule type="beginsWith" dxfId="916" priority="1460" stopIfTrue="1" operator="beginsWith" text="Not Functioning">
      <formula>LEFT(B370,LEN("Not Functioning"))="Not Functioning"</formula>
    </cfRule>
    <cfRule type="containsText" dxfId="915" priority="1461" operator="containsText" text="Functioning">
      <formula>NOT(ISERROR(SEARCH("Functioning",B370)))</formula>
    </cfRule>
  </conditionalFormatting>
  <conditionalFormatting sqref="F388:F391">
    <cfRule type="beginsWith" dxfId="914" priority="1456" stopIfTrue="1" operator="beginsWith" text="Functioning At Risk">
      <formula>LEFT(F388,LEN("Functioning At Risk"))="Functioning At Risk"</formula>
    </cfRule>
    <cfRule type="beginsWith" dxfId="913" priority="1457" stopIfTrue="1" operator="beginsWith" text="Not Functioning">
      <formula>LEFT(F388,LEN("Not Functioning"))="Not Functioning"</formula>
    </cfRule>
    <cfRule type="containsText" dxfId="912" priority="1458" operator="containsText" text="Functioning">
      <formula>NOT(ISERROR(SEARCH("Functioning",F388)))</formula>
    </cfRule>
  </conditionalFormatting>
  <conditionalFormatting sqref="I428:I432 B426:B427 D416 B419 A403:B403 F423 F420 H405:I406 H403:I403 H398:K401 A405:B405 A428:A432 F408 D410:D412 F410:F412 B423:B424 A406 F403 F405:F406 D428:D431 D403:D408 D419:D423">
    <cfRule type="beginsWith" dxfId="911" priority="1450" stopIfTrue="1" operator="beginsWith" text="Functioning At Risk">
      <formula>LEFT(A398,LEN("Functioning At Risk"))="Functioning At Risk"</formula>
    </cfRule>
    <cfRule type="beginsWith" dxfId="910" priority="1451" stopIfTrue="1" operator="beginsWith" text="Not Functioning">
      <formula>LEFT(A398,LEN("Not Functioning"))="Not Functioning"</formula>
    </cfRule>
    <cfRule type="containsText" dxfId="909" priority="1452" operator="containsText" text="Functioning">
      <formula>NOT(ISERROR(SEARCH("Functioning",A398)))</formula>
    </cfRule>
  </conditionalFormatting>
  <conditionalFormatting sqref="B407">
    <cfRule type="beginsWith" dxfId="908" priority="1447" stopIfTrue="1" operator="beginsWith" text="Functioning At Risk">
      <formula>LEFT(B407,LEN("Functioning At Risk"))="Functioning At Risk"</formula>
    </cfRule>
    <cfRule type="beginsWith" dxfId="907" priority="1448" stopIfTrue="1" operator="beginsWith" text="Not Functioning">
      <formula>LEFT(B407,LEN("Not Functioning"))="Not Functioning"</formula>
    </cfRule>
    <cfRule type="containsText" dxfId="906" priority="1449" operator="containsText" text="Functioning">
      <formula>NOT(ISERROR(SEARCH("Functioning",B407)))</formula>
    </cfRule>
  </conditionalFormatting>
  <conditionalFormatting sqref="D413">
    <cfRule type="beginsWith" dxfId="905" priority="1444" stopIfTrue="1" operator="beginsWith" text="Functioning At Risk">
      <formula>LEFT(D413,LEN("Functioning At Risk"))="Functioning At Risk"</formula>
    </cfRule>
    <cfRule type="beginsWith" dxfId="904" priority="1445" stopIfTrue="1" operator="beginsWith" text="Not Functioning">
      <formula>LEFT(D413,LEN("Not Functioning"))="Not Functioning"</formula>
    </cfRule>
    <cfRule type="containsText" dxfId="903" priority="1446" operator="containsText" text="Functioning">
      <formula>NOT(ISERROR(SEARCH("Functioning",D413)))</formula>
    </cfRule>
  </conditionalFormatting>
  <conditionalFormatting sqref="D417">
    <cfRule type="beginsWith" dxfId="902" priority="1441" stopIfTrue="1" operator="beginsWith" text="Functioning At Risk">
      <formula>LEFT(D417,LEN("Functioning At Risk"))="Functioning At Risk"</formula>
    </cfRule>
    <cfRule type="beginsWith" dxfId="901" priority="1442" stopIfTrue="1" operator="beginsWith" text="Not Functioning">
      <formula>LEFT(D417,LEN("Not Functioning"))="Not Functioning"</formula>
    </cfRule>
    <cfRule type="containsText" dxfId="900" priority="1443" operator="containsText" text="Functioning">
      <formula>NOT(ISERROR(SEARCH("Functioning",D417)))</formula>
    </cfRule>
  </conditionalFormatting>
  <conditionalFormatting sqref="D418">
    <cfRule type="beginsWith" dxfId="899" priority="1438" stopIfTrue="1" operator="beginsWith" text="Functioning At Risk">
      <formula>LEFT(D418,LEN("Functioning At Risk"))="Functioning At Risk"</formula>
    </cfRule>
    <cfRule type="beginsWith" dxfId="898" priority="1439" stopIfTrue="1" operator="beginsWith" text="Not Functioning">
      <formula>LEFT(D418,LEN("Not Functioning"))="Not Functioning"</formula>
    </cfRule>
    <cfRule type="containsText" dxfId="897" priority="1440" operator="containsText" text="Functioning">
      <formula>NOT(ISERROR(SEARCH("Functioning",D418)))</formula>
    </cfRule>
  </conditionalFormatting>
  <conditionalFormatting sqref="F413">
    <cfRule type="beginsWith" dxfId="896" priority="1435" stopIfTrue="1" operator="beginsWith" text="Functioning At Risk">
      <formula>LEFT(F413,LEN("Functioning At Risk"))="Functioning At Risk"</formula>
    </cfRule>
    <cfRule type="beginsWith" dxfId="895" priority="1436" stopIfTrue="1" operator="beginsWith" text="Not Functioning">
      <formula>LEFT(F413,LEN("Not Functioning"))="Not Functioning"</formula>
    </cfRule>
    <cfRule type="containsText" dxfId="894" priority="1437" operator="containsText" text="Functioning">
      <formula>NOT(ISERROR(SEARCH("Functioning",F413)))</formula>
    </cfRule>
  </conditionalFormatting>
  <conditionalFormatting sqref="D414:D415 F414:F415">
    <cfRule type="beginsWith" dxfId="893" priority="1414" stopIfTrue="1" operator="beginsWith" text="Functioning At Risk">
      <formula>LEFT(D414,LEN("Functioning At Risk"))="Functioning At Risk"</formula>
    </cfRule>
    <cfRule type="beginsWith" dxfId="892" priority="1415" stopIfTrue="1" operator="beginsWith" text="Not Functioning">
      <formula>LEFT(D414,LEN("Not Functioning"))="Not Functioning"</formula>
    </cfRule>
    <cfRule type="containsText" dxfId="891" priority="1416" operator="containsText" text="Functioning">
      <formula>NOT(ISERROR(SEARCH("Functioning",D414)))</formula>
    </cfRule>
  </conditionalFormatting>
  <conditionalFormatting sqref="A424">
    <cfRule type="beginsWith" dxfId="890" priority="1405" stopIfTrue="1" operator="beginsWith" text="Functioning At Risk">
      <formula>LEFT(A424,LEN("Functioning At Risk"))="Functioning At Risk"</formula>
    </cfRule>
    <cfRule type="beginsWith" dxfId="889" priority="1406" stopIfTrue="1" operator="beginsWith" text="Not Functioning">
      <formula>LEFT(A424,LEN("Not Functioning"))="Not Functioning"</formula>
    </cfRule>
    <cfRule type="containsText" dxfId="888" priority="1407" operator="containsText" text="Functioning">
      <formula>NOT(ISERROR(SEARCH("Functioning",A424)))</formula>
    </cfRule>
  </conditionalFormatting>
  <conditionalFormatting sqref="H424">
    <cfRule type="beginsWith" dxfId="887" priority="1402" stopIfTrue="1" operator="beginsWith" text="Functioning At Risk">
      <formula>LEFT(H424,LEN("Functioning At Risk"))="Functioning At Risk"</formula>
    </cfRule>
    <cfRule type="beginsWith" dxfId="886" priority="1403" stopIfTrue="1" operator="beginsWith" text="Not Functioning">
      <formula>LEFT(H424,LEN("Not Functioning"))="Not Functioning"</formula>
    </cfRule>
    <cfRule type="containsText" dxfId="885" priority="1404" operator="containsText" text="Functioning">
      <formula>NOT(ISERROR(SEARCH("Functioning",H424)))</formula>
    </cfRule>
  </conditionalFormatting>
  <conditionalFormatting sqref="I424">
    <cfRule type="beginsWith" dxfId="884" priority="1399" stopIfTrue="1" operator="beginsWith" text="Functioning At Risk">
      <formula>LEFT(I424,LEN("Functioning At Risk"))="Functioning At Risk"</formula>
    </cfRule>
    <cfRule type="beginsWith" dxfId="883" priority="1400" stopIfTrue="1" operator="beginsWith" text="Not Functioning">
      <formula>LEFT(I424,LEN("Not Functioning"))="Not Functioning"</formula>
    </cfRule>
    <cfRule type="containsText" dxfId="882" priority="1401" operator="containsText" text="Functioning">
      <formula>NOT(ISERROR(SEARCH("Functioning",I424)))</formula>
    </cfRule>
  </conditionalFormatting>
  <conditionalFormatting sqref="D432">
    <cfRule type="beginsWith" dxfId="881" priority="1395" stopIfTrue="1" operator="beginsWith" text="Functioning At Risk">
      <formula>LEFT(D432,LEN("Functioning At Risk"))="Functioning At Risk"</formula>
    </cfRule>
    <cfRule type="beginsWith" dxfId="880" priority="1396" stopIfTrue="1" operator="beginsWith" text="Not Functioning">
      <formula>LEFT(D432,LEN("Not Functioning"))="Not Functioning"</formula>
    </cfRule>
    <cfRule type="containsText" dxfId="879" priority="1397" operator="containsText" text="Functioning">
      <formula>NOT(ISERROR(SEARCH("Functioning",D432)))</formula>
    </cfRule>
  </conditionalFormatting>
  <conditionalFormatting sqref="D433">
    <cfRule type="beginsWith" dxfId="878" priority="1392" stopIfTrue="1" operator="beginsWith" text="Functioning At Risk">
      <formula>LEFT(D433,LEN("Functioning At Risk"))="Functioning At Risk"</formula>
    </cfRule>
    <cfRule type="beginsWith" dxfId="877" priority="1393" stopIfTrue="1" operator="beginsWith" text="Not Functioning">
      <formula>LEFT(D433,LEN("Not Functioning"))="Not Functioning"</formula>
    </cfRule>
    <cfRule type="containsText" dxfId="876" priority="1394" operator="containsText" text="Functioning">
      <formula>NOT(ISERROR(SEARCH("Functioning",D433)))</formula>
    </cfRule>
  </conditionalFormatting>
  <conditionalFormatting sqref="B432">
    <cfRule type="beginsWith" dxfId="875" priority="1389" stopIfTrue="1" operator="beginsWith" text="Functioning At Risk">
      <formula>LEFT(B432,LEN("Functioning At Risk"))="Functioning At Risk"</formula>
    </cfRule>
    <cfRule type="beginsWith" dxfId="874" priority="1390" stopIfTrue="1" operator="beginsWith" text="Not Functioning">
      <formula>LEFT(B432,LEN("Not Functioning"))="Not Functioning"</formula>
    </cfRule>
    <cfRule type="containsText" dxfId="873" priority="1391" operator="containsText" text="Functioning">
      <formula>NOT(ISERROR(SEARCH("Functioning",B432)))</formula>
    </cfRule>
  </conditionalFormatting>
  <conditionalFormatting sqref="F432:F433">
    <cfRule type="beginsWith" dxfId="872" priority="1379" stopIfTrue="1" operator="beginsWith" text="Functioning At Risk">
      <formula>LEFT(F432,LEN("Functioning At Risk"))="Functioning At Risk"</formula>
    </cfRule>
    <cfRule type="beginsWith" dxfId="871" priority="1380" stopIfTrue="1" operator="beginsWith" text="Not Functioning">
      <formula>LEFT(F432,LEN("Not Functioning"))="Not Functioning"</formula>
    </cfRule>
    <cfRule type="containsText" dxfId="870" priority="1381" operator="containsText" text="Functioning">
      <formula>NOT(ISERROR(SEARCH("Functioning",F432)))</formula>
    </cfRule>
  </conditionalFormatting>
  <conditionalFormatting sqref="B410">
    <cfRule type="beginsWith" dxfId="869" priority="1370" stopIfTrue="1" operator="beginsWith" text="Functioning At Risk">
      <formula>LEFT(B410,LEN("Functioning At Risk"))="Functioning At Risk"</formula>
    </cfRule>
    <cfRule type="beginsWith" dxfId="868" priority="1371" stopIfTrue="1" operator="beginsWith" text="Not Functioning">
      <formula>LEFT(B410,LEN("Not Functioning"))="Not Functioning"</formula>
    </cfRule>
    <cfRule type="containsText" dxfId="867" priority="1372" operator="containsText" text="Functioning">
      <formula>NOT(ISERROR(SEARCH("Functioning",B410)))</formula>
    </cfRule>
  </conditionalFormatting>
  <conditionalFormatting sqref="F428:F431">
    <cfRule type="beginsWith" dxfId="866" priority="1367" stopIfTrue="1" operator="beginsWith" text="Functioning At Risk">
      <formula>LEFT(F428,LEN("Functioning At Risk"))="Functioning At Risk"</formula>
    </cfRule>
    <cfRule type="beginsWith" dxfId="865" priority="1368" stopIfTrue="1" operator="beginsWith" text="Not Functioning">
      <formula>LEFT(F428,LEN("Not Functioning"))="Not Functioning"</formula>
    </cfRule>
    <cfRule type="containsText" dxfId="864" priority="1369" operator="containsText" text="Functioning">
      <formula>NOT(ISERROR(SEARCH("Functioning",F428)))</formula>
    </cfRule>
  </conditionalFormatting>
  <conditionalFormatting sqref="E233">
    <cfRule type="beginsWith" dxfId="863" priority="935" stopIfTrue="1" operator="beginsWith" text="Functioning At Risk">
      <formula>LEFT(E233,LEN("Functioning At Risk"))="Functioning At Risk"</formula>
    </cfRule>
    <cfRule type="beginsWith" dxfId="862" priority="936" stopIfTrue="1" operator="beginsWith" text="Not Functioning">
      <formula>LEFT(E233,LEN("Not Functioning"))="Not Functioning"</formula>
    </cfRule>
    <cfRule type="containsText" dxfId="861" priority="937" operator="containsText" text="Functioning">
      <formula>NOT(ISERROR(SEARCH("Functioning",E233)))</formula>
    </cfRule>
  </conditionalFormatting>
  <conditionalFormatting sqref="E127:E128">
    <cfRule type="beginsWith" dxfId="860" priority="992" stopIfTrue="1" operator="beginsWith" text="Functioning At Risk">
      <formula>LEFT(E127,LEN("Functioning At Risk"))="Functioning At Risk"</formula>
    </cfRule>
    <cfRule type="beginsWith" dxfId="859" priority="993" stopIfTrue="1" operator="beginsWith" text="Not Functioning">
      <formula>LEFT(E127,LEN("Not Functioning"))="Not Functioning"</formula>
    </cfRule>
    <cfRule type="containsText" dxfId="858" priority="994" operator="containsText" text="Functioning">
      <formula>NOT(ISERROR(SEARCH("Functioning",E127)))</formula>
    </cfRule>
  </conditionalFormatting>
  <conditionalFormatting sqref="E138 E154 E125:E126 E146">
    <cfRule type="beginsWith" dxfId="857" priority="1016" stopIfTrue="1" operator="beginsWith" text="Functioning At Risk">
      <formula>LEFT(E125,LEN("Functioning At Risk"))="Functioning At Risk"</formula>
    </cfRule>
    <cfRule type="beginsWith" dxfId="856" priority="1017" stopIfTrue="1" operator="beginsWith" text="Not Functioning">
      <formula>LEFT(E125,LEN("Not Functioning"))="Not Functioning"</formula>
    </cfRule>
    <cfRule type="containsText" dxfId="855" priority="1018" operator="containsText" text="Functioning">
      <formula>NOT(ISERROR(SEARCH("Functioning",E125)))</formula>
    </cfRule>
  </conditionalFormatting>
  <conditionalFormatting sqref="E19:E20">
    <cfRule type="beginsWith" dxfId="854" priority="1112" stopIfTrue="1" operator="beginsWith" text="Functioning At Risk">
      <formula>LEFT(E19,LEN("Functioning At Risk"))="Functioning At Risk"</formula>
    </cfRule>
    <cfRule type="beginsWith" dxfId="853" priority="1113" stopIfTrue="1" operator="beginsWith" text="Not Functioning">
      <formula>LEFT(E19,LEN("Not Functioning"))="Not Functioning"</formula>
    </cfRule>
    <cfRule type="containsText" dxfId="852" priority="1114" operator="containsText" text="Functioning">
      <formula>NOT(ISERROR(SEARCH("Functioning",E19)))</formula>
    </cfRule>
  </conditionalFormatting>
  <conditionalFormatting sqref="E13:E17">
    <cfRule type="beginsWith" dxfId="851" priority="1133" stopIfTrue="1" operator="beginsWith" text="Functioning At Risk">
      <formula>LEFT(E13,LEN("Functioning At Risk"))="Functioning At Risk"</formula>
    </cfRule>
    <cfRule type="beginsWith" dxfId="850" priority="1134" stopIfTrue="1" operator="beginsWith" text="Not Functioning">
      <formula>LEFT(E13,LEN("Not Functioning"))="Not Functioning"</formula>
    </cfRule>
    <cfRule type="containsText" dxfId="849" priority="1135" operator="containsText" text="Functioning">
      <formula>NOT(ISERROR(SEARCH("Functioning",E13)))</formula>
    </cfRule>
  </conditionalFormatting>
  <conditionalFormatting sqref="E12">
    <cfRule type="beginsWith" dxfId="848" priority="1115" stopIfTrue="1" operator="beginsWith" text="Functioning At Risk">
      <formula>LEFT(E12,LEN("Functioning At Risk"))="Functioning At Risk"</formula>
    </cfRule>
    <cfRule type="beginsWith" dxfId="847" priority="1116" stopIfTrue="1" operator="beginsWith" text="Not Functioning">
      <formula>LEFT(E12,LEN("Not Functioning"))="Not Functioning"</formula>
    </cfRule>
    <cfRule type="containsText" dxfId="846" priority="1117" operator="containsText" text="Functioning">
      <formula>NOT(ISERROR(SEARCH("Functioning",E12)))</formula>
    </cfRule>
  </conditionalFormatting>
  <conditionalFormatting sqref="E21 E37 E8:E9 E29">
    <cfRule type="beginsWith" dxfId="845" priority="1130" stopIfTrue="1" operator="beginsWith" text="Functioning At Risk">
      <formula>LEFT(E8,LEN("Functioning At Risk"))="Functioning At Risk"</formula>
    </cfRule>
    <cfRule type="beginsWith" dxfId="844" priority="1131" stopIfTrue="1" operator="beginsWith" text="Not Functioning">
      <formula>LEFT(E8,LEN("Not Functioning"))="Not Functioning"</formula>
    </cfRule>
    <cfRule type="containsText" dxfId="843" priority="1132" operator="containsText" text="Functioning">
      <formula>NOT(ISERROR(SEARCH("Functioning",E8)))</formula>
    </cfRule>
  </conditionalFormatting>
  <conditionalFormatting sqref="E38">
    <cfRule type="beginsWith" dxfId="842" priority="1125" stopIfTrue="1" operator="beginsWith" text="Functioning At Risk">
      <formula>LEFT(E38,LEN("Functioning At Risk"))="Functioning At Risk"</formula>
    </cfRule>
    <cfRule type="beginsWith" dxfId="841" priority="1126" stopIfTrue="1" operator="beginsWith" text="Not Functioning">
      <formula>LEFT(E38,LEN("Not Functioning"))="Not Functioning"</formula>
    </cfRule>
    <cfRule type="containsText" dxfId="840" priority="1127" operator="containsText" text="Functioning">
      <formula>NOT(ISERROR(SEARCH("Functioning",E38)))</formula>
    </cfRule>
  </conditionalFormatting>
  <conditionalFormatting sqref="E29">
    <cfRule type="expression" dxfId="839" priority="1120">
      <formula>B1048488="Level 4 - Physicochemical"</formula>
    </cfRule>
    <cfRule type="expression" dxfId="838" priority="1124">
      <formula>B1048488="Level 5 - Biology"</formula>
    </cfRule>
  </conditionalFormatting>
  <conditionalFormatting sqref="E31">
    <cfRule type="expression" dxfId="837" priority="1119">
      <formula>B1048488="Level 4 - Physicochemical"</formula>
    </cfRule>
    <cfRule type="expression" dxfId="836" priority="1123">
      <formula>B1048488="Level 5 - Biology"</formula>
    </cfRule>
  </conditionalFormatting>
  <conditionalFormatting sqref="E32">
    <cfRule type="expression" dxfId="835" priority="1118">
      <formula>B1048488="Level 4 - Physicochemical"</formula>
    </cfRule>
    <cfRule type="expression" dxfId="834" priority="1122">
      <formula>B1048488="Level 5 - Biology"</formula>
    </cfRule>
  </conditionalFormatting>
  <conditionalFormatting sqref="E38">
    <cfRule type="expression" dxfId="833" priority="1121">
      <formula>B1048488="Level 5 - Biology"</formula>
    </cfRule>
  </conditionalFormatting>
  <conditionalFormatting sqref="E30">
    <cfRule type="expression" dxfId="832" priority="1136">
      <formula>B1048489="Level 4 - Physicochemical"</formula>
    </cfRule>
    <cfRule type="expression" dxfId="831" priority="1137">
      <formula>B1048489="Level 5 - Biology"</formula>
    </cfRule>
  </conditionalFormatting>
  <conditionalFormatting sqref="E37">
    <cfRule type="expression" dxfId="830" priority="1138">
      <formula>B1048490="Level 5 - Biology"</formula>
    </cfRule>
  </conditionalFormatting>
  <conditionalFormatting sqref="E24:E28">
    <cfRule type="beginsWith" dxfId="829" priority="1109" stopIfTrue="1" operator="beginsWith" text="Functioning At Risk">
      <formula>LEFT(E24,LEN("Functioning At Risk"))="Functioning At Risk"</formula>
    </cfRule>
    <cfRule type="beginsWith" dxfId="828" priority="1110" stopIfTrue="1" operator="beginsWith" text="Not Functioning">
      <formula>LEFT(E24,LEN("Not Functioning"))="Not Functioning"</formula>
    </cfRule>
    <cfRule type="containsText" dxfId="827" priority="1111" operator="containsText" text="Functioning">
      <formula>NOT(ISERROR(SEARCH("Functioning",E24)))</formula>
    </cfRule>
  </conditionalFormatting>
  <conditionalFormatting sqref="E10:E11">
    <cfRule type="beginsWith" dxfId="826" priority="1106" stopIfTrue="1" operator="beginsWith" text="Functioning At Risk">
      <formula>LEFT(E10,LEN("Functioning At Risk"))="Functioning At Risk"</formula>
    </cfRule>
    <cfRule type="beginsWith" dxfId="825" priority="1107" stopIfTrue="1" operator="beginsWith" text="Not Functioning">
      <formula>LEFT(E10,LEN("Not Functioning"))="Not Functioning"</formula>
    </cfRule>
    <cfRule type="containsText" dxfId="824" priority="1108" operator="containsText" text="Functioning">
      <formula>NOT(ISERROR(SEARCH("Functioning",E10)))</formula>
    </cfRule>
  </conditionalFormatting>
  <conditionalFormatting sqref="E36">
    <cfRule type="expression" dxfId="823" priority="1104">
      <formula>B1048418="Level 5 - Biology"</formula>
    </cfRule>
  </conditionalFormatting>
  <conditionalFormatting sqref="E33:E36">
    <cfRule type="beginsWith" dxfId="822" priority="1101" stopIfTrue="1" operator="beginsWith" text="Functioning At Risk">
      <formula>LEFT(E33,LEN("Functioning At Risk"))="Functioning At Risk"</formula>
    </cfRule>
    <cfRule type="beginsWith" dxfId="821" priority="1102" stopIfTrue="1" operator="beginsWith" text="Not Functioning">
      <formula>LEFT(E33,LEN("Not Functioning"))="Not Functioning"</formula>
    </cfRule>
    <cfRule type="containsText" dxfId="820" priority="1103" operator="containsText" text="Functioning">
      <formula>NOT(ISERROR(SEARCH("Functioning",E33)))</formula>
    </cfRule>
  </conditionalFormatting>
  <conditionalFormatting sqref="E33:E35">
    <cfRule type="expression" dxfId="819" priority="1105">
      <formula>B1048417="Level 5 - Biology"</formula>
    </cfRule>
  </conditionalFormatting>
  <conditionalFormatting sqref="E52:E56">
    <cfRule type="beginsWith" dxfId="818" priority="1095" stopIfTrue="1" operator="beginsWith" text="Functioning At Risk">
      <formula>LEFT(E52,LEN("Functioning At Risk"))="Functioning At Risk"</formula>
    </cfRule>
    <cfRule type="beginsWith" dxfId="817" priority="1096" stopIfTrue="1" operator="beginsWith" text="Not Functioning">
      <formula>LEFT(E52,LEN("Not Functioning"))="Not Functioning"</formula>
    </cfRule>
    <cfRule type="containsText" dxfId="816" priority="1097" operator="containsText" text="Functioning">
      <formula>NOT(ISERROR(SEARCH("Functioning",E52)))</formula>
    </cfRule>
  </conditionalFormatting>
  <conditionalFormatting sqref="E51">
    <cfRule type="beginsWith" dxfId="815" priority="1077" stopIfTrue="1" operator="beginsWith" text="Functioning At Risk">
      <formula>LEFT(E51,LEN("Functioning At Risk"))="Functioning At Risk"</formula>
    </cfRule>
    <cfRule type="beginsWith" dxfId="814" priority="1078" stopIfTrue="1" operator="beginsWith" text="Not Functioning">
      <formula>LEFT(E51,LEN("Not Functioning"))="Not Functioning"</formula>
    </cfRule>
    <cfRule type="containsText" dxfId="813" priority="1079" operator="containsText" text="Functioning">
      <formula>NOT(ISERROR(SEARCH("Functioning",E51)))</formula>
    </cfRule>
  </conditionalFormatting>
  <conditionalFormatting sqref="E60 E76 E47:E48 E68">
    <cfRule type="beginsWith" dxfId="812" priority="1092" stopIfTrue="1" operator="beginsWith" text="Functioning At Risk">
      <formula>LEFT(E47,LEN("Functioning At Risk"))="Functioning At Risk"</formula>
    </cfRule>
    <cfRule type="beginsWith" dxfId="811" priority="1093" stopIfTrue="1" operator="beginsWith" text="Not Functioning">
      <formula>LEFT(E47,LEN("Not Functioning"))="Not Functioning"</formula>
    </cfRule>
    <cfRule type="containsText" dxfId="810" priority="1094" operator="containsText" text="Functioning">
      <formula>NOT(ISERROR(SEARCH("Functioning",E47)))</formula>
    </cfRule>
  </conditionalFormatting>
  <conditionalFormatting sqref="E77">
    <cfRule type="beginsWith" dxfId="809" priority="1087" stopIfTrue="1" operator="beginsWith" text="Functioning At Risk">
      <formula>LEFT(E77,LEN("Functioning At Risk"))="Functioning At Risk"</formula>
    </cfRule>
    <cfRule type="beginsWith" dxfId="808" priority="1088" stopIfTrue="1" operator="beginsWith" text="Not Functioning">
      <formula>LEFT(E77,LEN("Not Functioning"))="Not Functioning"</formula>
    </cfRule>
    <cfRule type="containsText" dxfId="807" priority="1089" operator="containsText" text="Functioning">
      <formula>NOT(ISERROR(SEARCH("Functioning",E77)))</formula>
    </cfRule>
  </conditionalFormatting>
  <conditionalFormatting sqref="E68">
    <cfRule type="expression" dxfId="806" priority="1082">
      <formula>B1048528="Level 4 - Physicochemical"</formula>
    </cfRule>
    <cfRule type="expression" dxfId="805" priority="1086">
      <formula>B1048528="Level 5 - Biology"</formula>
    </cfRule>
  </conditionalFormatting>
  <conditionalFormatting sqref="E70">
    <cfRule type="expression" dxfId="804" priority="1081">
      <formula>B1048528="Level 4 - Physicochemical"</formula>
    </cfRule>
    <cfRule type="expression" dxfId="803" priority="1085">
      <formula>B1048528="Level 5 - Biology"</formula>
    </cfRule>
  </conditionalFormatting>
  <conditionalFormatting sqref="E71">
    <cfRule type="expression" dxfId="802" priority="1080">
      <formula>B1048528="Level 4 - Physicochemical"</formula>
    </cfRule>
    <cfRule type="expression" dxfId="801" priority="1084">
      <formula>B1048528="Level 5 - Biology"</formula>
    </cfRule>
  </conditionalFormatting>
  <conditionalFormatting sqref="E77">
    <cfRule type="expression" dxfId="800" priority="1083">
      <formula>B1048528="Level 5 - Biology"</formula>
    </cfRule>
  </conditionalFormatting>
  <conditionalFormatting sqref="E58:E59">
    <cfRule type="beginsWith" dxfId="799" priority="1074" stopIfTrue="1" operator="beginsWith" text="Functioning At Risk">
      <formula>LEFT(E58,LEN("Functioning At Risk"))="Functioning At Risk"</formula>
    </cfRule>
    <cfRule type="beginsWith" dxfId="798" priority="1075" stopIfTrue="1" operator="beginsWith" text="Not Functioning">
      <formula>LEFT(E58,LEN("Not Functioning"))="Not Functioning"</formula>
    </cfRule>
    <cfRule type="containsText" dxfId="797" priority="1076" operator="containsText" text="Functioning">
      <formula>NOT(ISERROR(SEARCH("Functioning",E58)))</formula>
    </cfRule>
  </conditionalFormatting>
  <conditionalFormatting sqref="E69">
    <cfRule type="expression" dxfId="796" priority="1098">
      <formula>B1048529="Level 4 - Physicochemical"</formula>
    </cfRule>
    <cfRule type="expression" dxfId="795" priority="1099">
      <formula>B1048529="Level 5 - Biology"</formula>
    </cfRule>
  </conditionalFormatting>
  <conditionalFormatting sqref="E76">
    <cfRule type="expression" dxfId="794" priority="1100">
      <formula>B1048530="Level 5 - Biology"</formula>
    </cfRule>
  </conditionalFormatting>
  <conditionalFormatting sqref="E63:E67">
    <cfRule type="beginsWith" dxfId="793" priority="1071" stopIfTrue="1" operator="beginsWith" text="Functioning At Risk">
      <formula>LEFT(E63,LEN("Functioning At Risk"))="Functioning At Risk"</formula>
    </cfRule>
    <cfRule type="beginsWith" dxfId="792" priority="1072" stopIfTrue="1" operator="beginsWith" text="Not Functioning">
      <formula>LEFT(E63,LEN("Not Functioning"))="Not Functioning"</formula>
    </cfRule>
    <cfRule type="containsText" dxfId="791" priority="1073" operator="containsText" text="Functioning">
      <formula>NOT(ISERROR(SEARCH("Functioning",E63)))</formula>
    </cfRule>
  </conditionalFormatting>
  <conditionalFormatting sqref="E49:E50">
    <cfRule type="beginsWith" dxfId="790" priority="1068" stopIfTrue="1" operator="beginsWith" text="Functioning At Risk">
      <formula>LEFT(E49,LEN("Functioning At Risk"))="Functioning At Risk"</formula>
    </cfRule>
    <cfRule type="beginsWith" dxfId="789" priority="1069" stopIfTrue="1" operator="beginsWith" text="Not Functioning">
      <formula>LEFT(E49,LEN("Not Functioning"))="Not Functioning"</formula>
    </cfRule>
    <cfRule type="containsText" dxfId="788" priority="1070" operator="containsText" text="Functioning">
      <formula>NOT(ISERROR(SEARCH("Functioning",E49)))</formula>
    </cfRule>
  </conditionalFormatting>
  <conditionalFormatting sqref="E75">
    <cfRule type="expression" dxfId="787" priority="1066">
      <formula>B1048458="Level 5 - Biology"</formula>
    </cfRule>
  </conditionalFormatting>
  <conditionalFormatting sqref="E72:E75">
    <cfRule type="beginsWith" dxfId="786" priority="1063" stopIfTrue="1" operator="beginsWith" text="Functioning At Risk">
      <formula>LEFT(E72,LEN("Functioning At Risk"))="Functioning At Risk"</formula>
    </cfRule>
    <cfRule type="beginsWith" dxfId="785" priority="1064" stopIfTrue="1" operator="beginsWith" text="Not Functioning">
      <formula>LEFT(E72,LEN("Not Functioning"))="Not Functioning"</formula>
    </cfRule>
    <cfRule type="containsText" dxfId="784" priority="1065" operator="containsText" text="Functioning">
      <formula>NOT(ISERROR(SEARCH("Functioning",E72)))</formula>
    </cfRule>
  </conditionalFormatting>
  <conditionalFormatting sqref="E72:E74">
    <cfRule type="expression" dxfId="783" priority="1067">
      <formula>B1048457="Level 5 - Biology"</formula>
    </cfRule>
  </conditionalFormatting>
  <conditionalFormatting sqref="E91:E95">
    <cfRule type="beginsWith" dxfId="782" priority="1057" stopIfTrue="1" operator="beginsWith" text="Functioning At Risk">
      <formula>LEFT(E91,LEN("Functioning At Risk"))="Functioning At Risk"</formula>
    </cfRule>
    <cfRule type="beginsWith" dxfId="781" priority="1058" stopIfTrue="1" operator="beginsWith" text="Not Functioning">
      <formula>LEFT(E91,LEN("Not Functioning"))="Not Functioning"</formula>
    </cfRule>
    <cfRule type="containsText" dxfId="780" priority="1059" operator="containsText" text="Functioning">
      <formula>NOT(ISERROR(SEARCH("Functioning",E91)))</formula>
    </cfRule>
  </conditionalFormatting>
  <conditionalFormatting sqref="E90">
    <cfRule type="beginsWith" dxfId="779" priority="1039" stopIfTrue="1" operator="beginsWith" text="Functioning At Risk">
      <formula>LEFT(E90,LEN("Functioning At Risk"))="Functioning At Risk"</formula>
    </cfRule>
    <cfRule type="beginsWith" dxfId="778" priority="1040" stopIfTrue="1" operator="beginsWith" text="Not Functioning">
      <formula>LEFT(E90,LEN("Not Functioning"))="Not Functioning"</formula>
    </cfRule>
    <cfRule type="containsText" dxfId="777" priority="1041" operator="containsText" text="Functioning">
      <formula>NOT(ISERROR(SEARCH("Functioning",E90)))</formula>
    </cfRule>
  </conditionalFormatting>
  <conditionalFormatting sqref="E99 E115 E86:E87 E107">
    <cfRule type="beginsWith" dxfId="776" priority="1054" stopIfTrue="1" operator="beginsWith" text="Functioning At Risk">
      <formula>LEFT(E86,LEN("Functioning At Risk"))="Functioning At Risk"</formula>
    </cfRule>
    <cfRule type="beginsWith" dxfId="775" priority="1055" stopIfTrue="1" operator="beginsWith" text="Not Functioning">
      <formula>LEFT(E86,LEN("Not Functioning"))="Not Functioning"</formula>
    </cfRule>
    <cfRule type="containsText" dxfId="774" priority="1056" operator="containsText" text="Functioning">
      <formula>NOT(ISERROR(SEARCH("Functioning",E86)))</formula>
    </cfRule>
  </conditionalFormatting>
  <conditionalFormatting sqref="E116">
    <cfRule type="beginsWith" dxfId="773" priority="1049" stopIfTrue="1" operator="beginsWith" text="Functioning At Risk">
      <formula>LEFT(E116,LEN("Functioning At Risk"))="Functioning At Risk"</formula>
    </cfRule>
    <cfRule type="beginsWith" dxfId="772" priority="1050" stopIfTrue="1" operator="beginsWith" text="Not Functioning">
      <formula>LEFT(E116,LEN("Not Functioning"))="Not Functioning"</formula>
    </cfRule>
    <cfRule type="containsText" dxfId="771" priority="1051" operator="containsText" text="Functioning">
      <formula>NOT(ISERROR(SEARCH("Functioning",E116)))</formula>
    </cfRule>
  </conditionalFormatting>
  <conditionalFormatting sqref="E107">
    <cfRule type="expression" dxfId="770" priority="1044">
      <formula>B3="Level 4 - Physicochemical"</formula>
    </cfRule>
    <cfRule type="expression" dxfId="769" priority="1048">
      <formula>B3="Level 5 - Biology"</formula>
    </cfRule>
  </conditionalFormatting>
  <conditionalFormatting sqref="E109">
    <cfRule type="expression" dxfId="768" priority="1043">
      <formula>B3="Level 4 - Physicochemical"</formula>
    </cfRule>
    <cfRule type="expression" dxfId="767" priority="1047">
      <formula>B3="Level 5 - Biology"</formula>
    </cfRule>
  </conditionalFormatting>
  <conditionalFormatting sqref="E110">
    <cfRule type="expression" dxfId="766" priority="1042">
      <formula>B3="Level 4 - Physicochemical"</formula>
    </cfRule>
    <cfRule type="expression" dxfId="765" priority="1046">
      <formula>B3="Level 5 - Biology"</formula>
    </cfRule>
  </conditionalFormatting>
  <conditionalFormatting sqref="E116">
    <cfRule type="expression" dxfId="764" priority="1045">
      <formula>B3="Level 5 - Biology"</formula>
    </cfRule>
  </conditionalFormatting>
  <conditionalFormatting sqref="E97:E98">
    <cfRule type="beginsWith" dxfId="763" priority="1036" stopIfTrue="1" operator="beginsWith" text="Functioning At Risk">
      <formula>LEFT(E97,LEN("Functioning At Risk"))="Functioning At Risk"</formula>
    </cfRule>
    <cfRule type="beginsWith" dxfId="762" priority="1037" stopIfTrue="1" operator="beginsWith" text="Not Functioning">
      <formula>LEFT(E97,LEN("Not Functioning"))="Not Functioning"</formula>
    </cfRule>
    <cfRule type="containsText" dxfId="761" priority="1038" operator="containsText" text="Functioning">
      <formula>NOT(ISERROR(SEARCH("Functioning",E97)))</formula>
    </cfRule>
  </conditionalFormatting>
  <conditionalFormatting sqref="E108">
    <cfRule type="expression" dxfId="760" priority="1060">
      <formula>B4="Level 4 - Physicochemical"</formula>
    </cfRule>
    <cfRule type="expression" dxfId="759" priority="1061">
      <formula>B4="Level 5 - Biology"</formula>
    </cfRule>
  </conditionalFormatting>
  <conditionalFormatting sqref="E115">
    <cfRule type="expression" dxfId="758" priority="1062">
      <formula>B5="Level 5 - Biology"</formula>
    </cfRule>
  </conditionalFormatting>
  <conditionalFormatting sqref="E102:E106">
    <cfRule type="beginsWith" dxfId="757" priority="1033" stopIfTrue="1" operator="beginsWith" text="Functioning At Risk">
      <formula>LEFT(E102,LEN("Functioning At Risk"))="Functioning At Risk"</formula>
    </cfRule>
    <cfRule type="beginsWith" dxfId="756" priority="1034" stopIfTrue="1" operator="beginsWith" text="Not Functioning">
      <formula>LEFT(E102,LEN("Not Functioning"))="Not Functioning"</formula>
    </cfRule>
    <cfRule type="containsText" dxfId="755" priority="1035" operator="containsText" text="Functioning">
      <formula>NOT(ISERROR(SEARCH("Functioning",E102)))</formula>
    </cfRule>
  </conditionalFormatting>
  <conditionalFormatting sqref="E88:E89">
    <cfRule type="beginsWith" dxfId="754" priority="1030" stopIfTrue="1" operator="beginsWith" text="Functioning At Risk">
      <formula>LEFT(E88,LEN("Functioning At Risk"))="Functioning At Risk"</formula>
    </cfRule>
    <cfRule type="beginsWith" dxfId="753" priority="1031" stopIfTrue="1" operator="beginsWith" text="Not Functioning">
      <formula>LEFT(E88,LEN("Not Functioning"))="Not Functioning"</formula>
    </cfRule>
    <cfRule type="containsText" dxfId="752" priority="1032" operator="containsText" text="Functioning">
      <formula>NOT(ISERROR(SEARCH("Functioning",E88)))</formula>
    </cfRule>
  </conditionalFormatting>
  <conditionalFormatting sqref="E114">
    <cfRule type="expression" dxfId="751" priority="1028">
      <formula>B1048498="Level 5 - Biology"</formula>
    </cfRule>
  </conditionalFormatting>
  <conditionalFormatting sqref="E111:E114">
    <cfRule type="beginsWith" dxfId="750" priority="1025" stopIfTrue="1" operator="beginsWith" text="Functioning At Risk">
      <formula>LEFT(E111,LEN("Functioning At Risk"))="Functioning At Risk"</formula>
    </cfRule>
    <cfRule type="beginsWith" dxfId="749" priority="1026" stopIfTrue="1" operator="beginsWith" text="Not Functioning">
      <formula>LEFT(E111,LEN("Not Functioning"))="Not Functioning"</formula>
    </cfRule>
    <cfRule type="containsText" dxfId="748" priority="1027" operator="containsText" text="Functioning">
      <formula>NOT(ISERROR(SEARCH("Functioning",E111)))</formula>
    </cfRule>
  </conditionalFormatting>
  <conditionalFormatting sqref="E111:E113">
    <cfRule type="expression" dxfId="747" priority="1029">
      <formula>B1048497="Level 5 - Biology"</formula>
    </cfRule>
  </conditionalFormatting>
  <conditionalFormatting sqref="E130:E134">
    <cfRule type="beginsWith" dxfId="746" priority="1019" stopIfTrue="1" operator="beginsWith" text="Functioning At Risk">
      <formula>LEFT(E130,LEN("Functioning At Risk"))="Functioning At Risk"</formula>
    </cfRule>
    <cfRule type="beginsWith" dxfId="745" priority="1020" stopIfTrue="1" operator="beginsWith" text="Not Functioning">
      <formula>LEFT(E130,LEN("Not Functioning"))="Not Functioning"</formula>
    </cfRule>
    <cfRule type="containsText" dxfId="744" priority="1021" operator="containsText" text="Functioning">
      <formula>NOT(ISERROR(SEARCH("Functioning",E130)))</formula>
    </cfRule>
  </conditionalFormatting>
  <conditionalFormatting sqref="E129">
    <cfRule type="beginsWith" dxfId="743" priority="1001" stopIfTrue="1" operator="beginsWith" text="Functioning At Risk">
      <formula>LEFT(E129,LEN("Functioning At Risk"))="Functioning At Risk"</formula>
    </cfRule>
    <cfRule type="beginsWith" dxfId="742" priority="1002" stopIfTrue="1" operator="beginsWith" text="Not Functioning">
      <formula>LEFT(E129,LEN("Not Functioning"))="Not Functioning"</formula>
    </cfRule>
    <cfRule type="containsText" dxfId="741" priority="1003" operator="containsText" text="Functioning">
      <formula>NOT(ISERROR(SEARCH("Functioning",E129)))</formula>
    </cfRule>
  </conditionalFormatting>
  <conditionalFormatting sqref="E155">
    <cfRule type="beginsWith" dxfId="740" priority="1011" stopIfTrue="1" operator="beginsWith" text="Functioning At Risk">
      <formula>LEFT(E155,LEN("Functioning At Risk"))="Functioning At Risk"</formula>
    </cfRule>
    <cfRule type="beginsWith" dxfId="739" priority="1012" stopIfTrue="1" operator="beginsWith" text="Not Functioning">
      <formula>LEFT(E155,LEN("Not Functioning"))="Not Functioning"</formula>
    </cfRule>
    <cfRule type="containsText" dxfId="738" priority="1013" operator="containsText" text="Functioning">
      <formula>NOT(ISERROR(SEARCH("Functioning",E155)))</formula>
    </cfRule>
  </conditionalFormatting>
  <conditionalFormatting sqref="E146">
    <cfRule type="expression" dxfId="737" priority="1006">
      <formula>B42="Level 4 - Physicochemical"</formula>
    </cfRule>
    <cfRule type="expression" dxfId="736" priority="1010">
      <formula>B42="Level 5 - Biology"</formula>
    </cfRule>
  </conditionalFormatting>
  <conditionalFormatting sqref="E148">
    <cfRule type="expression" dxfId="735" priority="1005">
      <formula>B42="Level 4 - Physicochemical"</formula>
    </cfRule>
    <cfRule type="expression" dxfId="734" priority="1009">
      <formula>B42="Level 5 - Biology"</formula>
    </cfRule>
  </conditionalFormatting>
  <conditionalFormatting sqref="E149">
    <cfRule type="expression" dxfId="733" priority="1004">
      <formula>B42="Level 4 - Physicochemical"</formula>
    </cfRule>
    <cfRule type="expression" dxfId="732" priority="1008">
      <formula>B42="Level 5 - Biology"</formula>
    </cfRule>
  </conditionalFormatting>
  <conditionalFormatting sqref="E155">
    <cfRule type="expression" dxfId="731" priority="1007">
      <formula>B42="Level 5 - Biology"</formula>
    </cfRule>
  </conditionalFormatting>
  <conditionalFormatting sqref="E136:E137">
    <cfRule type="beginsWith" dxfId="730" priority="998" stopIfTrue="1" operator="beginsWith" text="Functioning At Risk">
      <formula>LEFT(E136,LEN("Functioning At Risk"))="Functioning At Risk"</formula>
    </cfRule>
    <cfRule type="beginsWith" dxfId="729" priority="999" stopIfTrue="1" operator="beginsWith" text="Not Functioning">
      <formula>LEFT(E136,LEN("Not Functioning"))="Not Functioning"</formula>
    </cfRule>
    <cfRule type="containsText" dxfId="728" priority="1000" operator="containsText" text="Functioning">
      <formula>NOT(ISERROR(SEARCH("Functioning",E136)))</formula>
    </cfRule>
  </conditionalFormatting>
  <conditionalFormatting sqref="E147">
    <cfRule type="expression" dxfId="727" priority="1022">
      <formula>B43="Level 4 - Physicochemical"</formula>
    </cfRule>
    <cfRule type="expression" dxfId="726" priority="1023">
      <formula>B43="Level 5 - Biology"</formula>
    </cfRule>
  </conditionalFormatting>
  <conditionalFormatting sqref="E154">
    <cfRule type="expression" dxfId="725" priority="1024">
      <formula>B44="Level 5 - Biology"</formula>
    </cfRule>
  </conditionalFormatting>
  <conditionalFormatting sqref="E141:E145">
    <cfRule type="beginsWith" dxfId="724" priority="995" stopIfTrue="1" operator="beginsWith" text="Functioning At Risk">
      <formula>LEFT(E141,LEN("Functioning At Risk"))="Functioning At Risk"</formula>
    </cfRule>
    <cfRule type="beginsWith" dxfId="723" priority="996" stopIfTrue="1" operator="beginsWith" text="Not Functioning">
      <formula>LEFT(E141,LEN("Not Functioning"))="Not Functioning"</formula>
    </cfRule>
    <cfRule type="containsText" dxfId="722" priority="997" operator="containsText" text="Functioning">
      <formula>NOT(ISERROR(SEARCH("Functioning",E141)))</formula>
    </cfRule>
  </conditionalFormatting>
  <conditionalFormatting sqref="E153">
    <cfRule type="expression" dxfId="721" priority="990">
      <formula>B1048538="Level 5 - Biology"</formula>
    </cfRule>
  </conditionalFormatting>
  <conditionalFormatting sqref="E150:E153">
    <cfRule type="beginsWith" dxfId="720" priority="987" stopIfTrue="1" operator="beginsWith" text="Functioning At Risk">
      <formula>LEFT(E150,LEN("Functioning At Risk"))="Functioning At Risk"</formula>
    </cfRule>
    <cfRule type="beginsWith" dxfId="719" priority="988" stopIfTrue="1" operator="beginsWith" text="Not Functioning">
      <formula>LEFT(E150,LEN("Not Functioning"))="Not Functioning"</formula>
    </cfRule>
    <cfRule type="containsText" dxfId="718" priority="989" operator="containsText" text="Functioning">
      <formula>NOT(ISERROR(SEARCH("Functioning",E150)))</formula>
    </cfRule>
  </conditionalFormatting>
  <conditionalFormatting sqref="E150:E152">
    <cfRule type="expression" dxfId="717" priority="991">
      <formula>B1048537="Level 5 - Biology"</formula>
    </cfRule>
  </conditionalFormatting>
  <conditionalFormatting sqref="E169:E173">
    <cfRule type="beginsWith" dxfId="716" priority="981" stopIfTrue="1" operator="beginsWith" text="Functioning At Risk">
      <formula>LEFT(E169,LEN("Functioning At Risk"))="Functioning At Risk"</formula>
    </cfRule>
    <cfRule type="beginsWith" dxfId="715" priority="982" stopIfTrue="1" operator="beginsWith" text="Not Functioning">
      <formula>LEFT(E169,LEN("Not Functioning"))="Not Functioning"</formula>
    </cfRule>
    <cfRule type="containsText" dxfId="714" priority="983" operator="containsText" text="Functioning">
      <formula>NOT(ISERROR(SEARCH("Functioning",E169)))</formula>
    </cfRule>
  </conditionalFormatting>
  <conditionalFormatting sqref="E168">
    <cfRule type="beginsWith" dxfId="713" priority="963" stopIfTrue="1" operator="beginsWith" text="Functioning At Risk">
      <formula>LEFT(E168,LEN("Functioning At Risk"))="Functioning At Risk"</formula>
    </cfRule>
    <cfRule type="beginsWith" dxfId="712" priority="964" stopIfTrue="1" operator="beginsWith" text="Not Functioning">
      <formula>LEFT(E168,LEN("Not Functioning"))="Not Functioning"</formula>
    </cfRule>
    <cfRule type="containsText" dxfId="711" priority="965" operator="containsText" text="Functioning">
      <formula>NOT(ISERROR(SEARCH("Functioning",E168)))</formula>
    </cfRule>
  </conditionalFormatting>
  <conditionalFormatting sqref="E177 E193 E164:E165 E185">
    <cfRule type="beginsWith" dxfId="710" priority="978" stopIfTrue="1" operator="beginsWith" text="Functioning At Risk">
      <formula>LEFT(E164,LEN("Functioning At Risk"))="Functioning At Risk"</formula>
    </cfRule>
    <cfRule type="beginsWith" dxfId="709" priority="979" stopIfTrue="1" operator="beginsWith" text="Not Functioning">
      <formula>LEFT(E164,LEN("Not Functioning"))="Not Functioning"</formula>
    </cfRule>
    <cfRule type="containsText" dxfId="708" priority="980" operator="containsText" text="Functioning">
      <formula>NOT(ISERROR(SEARCH("Functioning",E164)))</formula>
    </cfRule>
  </conditionalFormatting>
  <conditionalFormatting sqref="E194">
    <cfRule type="beginsWith" dxfId="707" priority="973" stopIfTrue="1" operator="beginsWith" text="Functioning At Risk">
      <formula>LEFT(E194,LEN("Functioning At Risk"))="Functioning At Risk"</formula>
    </cfRule>
    <cfRule type="beginsWith" dxfId="706" priority="974" stopIfTrue="1" operator="beginsWith" text="Not Functioning">
      <formula>LEFT(E194,LEN("Not Functioning"))="Not Functioning"</formula>
    </cfRule>
    <cfRule type="containsText" dxfId="705" priority="975" operator="containsText" text="Functioning">
      <formula>NOT(ISERROR(SEARCH("Functioning",E194)))</formula>
    </cfRule>
  </conditionalFormatting>
  <conditionalFormatting sqref="E185">
    <cfRule type="expression" dxfId="704" priority="968">
      <formula>B81="Level 4 - Physicochemical"</formula>
    </cfRule>
    <cfRule type="expression" dxfId="703" priority="972">
      <formula>B81="Level 5 - Biology"</formula>
    </cfRule>
  </conditionalFormatting>
  <conditionalFormatting sqref="E187">
    <cfRule type="expression" dxfId="702" priority="967">
      <formula>B81="Level 4 - Physicochemical"</formula>
    </cfRule>
    <cfRule type="expression" dxfId="701" priority="971">
      <formula>B81="Level 5 - Biology"</formula>
    </cfRule>
  </conditionalFormatting>
  <conditionalFormatting sqref="E188">
    <cfRule type="expression" dxfId="700" priority="966">
      <formula>B81="Level 4 - Physicochemical"</formula>
    </cfRule>
    <cfRule type="expression" dxfId="699" priority="970">
      <formula>B81="Level 5 - Biology"</formula>
    </cfRule>
  </conditionalFormatting>
  <conditionalFormatting sqref="E194">
    <cfRule type="expression" dxfId="698" priority="969">
      <formula>B81="Level 5 - Biology"</formula>
    </cfRule>
  </conditionalFormatting>
  <conditionalFormatting sqref="E175:E176">
    <cfRule type="beginsWith" dxfId="697" priority="960" stopIfTrue="1" operator="beginsWith" text="Functioning At Risk">
      <formula>LEFT(E175,LEN("Functioning At Risk"))="Functioning At Risk"</formula>
    </cfRule>
    <cfRule type="beginsWith" dxfId="696" priority="961" stopIfTrue="1" operator="beginsWith" text="Not Functioning">
      <formula>LEFT(E175,LEN("Not Functioning"))="Not Functioning"</formula>
    </cfRule>
    <cfRule type="containsText" dxfId="695" priority="962" operator="containsText" text="Functioning">
      <formula>NOT(ISERROR(SEARCH("Functioning",E175)))</formula>
    </cfRule>
  </conditionalFormatting>
  <conditionalFormatting sqref="E186">
    <cfRule type="expression" dxfId="694" priority="984">
      <formula>B82="Level 4 - Physicochemical"</formula>
    </cfRule>
    <cfRule type="expression" dxfId="693" priority="985">
      <formula>B82="Level 5 - Biology"</formula>
    </cfRule>
  </conditionalFormatting>
  <conditionalFormatting sqref="E193">
    <cfRule type="expression" dxfId="692" priority="986">
      <formula>B83="Level 5 - Biology"</formula>
    </cfRule>
  </conditionalFormatting>
  <conditionalFormatting sqref="E180:E184">
    <cfRule type="beginsWith" dxfId="691" priority="957" stopIfTrue="1" operator="beginsWith" text="Functioning At Risk">
      <formula>LEFT(E180,LEN("Functioning At Risk"))="Functioning At Risk"</formula>
    </cfRule>
    <cfRule type="beginsWith" dxfId="690" priority="958" stopIfTrue="1" operator="beginsWith" text="Not Functioning">
      <formula>LEFT(E180,LEN("Not Functioning"))="Not Functioning"</formula>
    </cfRule>
    <cfRule type="containsText" dxfId="689" priority="959" operator="containsText" text="Functioning">
      <formula>NOT(ISERROR(SEARCH("Functioning",E180)))</formula>
    </cfRule>
  </conditionalFormatting>
  <conditionalFormatting sqref="E166:E167">
    <cfRule type="beginsWith" dxfId="688" priority="954" stopIfTrue="1" operator="beginsWith" text="Functioning At Risk">
      <formula>LEFT(E166,LEN("Functioning At Risk"))="Functioning At Risk"</formula>
    </cfRule>
    <cfRule type="beginsWith" dxfId="687" priority="955" stopIfTrue="1" operator="beginsWith" text="Not Functioning">
      <formula>LEFT(E166,LEN("Not Functioning"))="Not Functioning"</formula>
    </cfRule>
    <cfRule type="containsText" dxfId="686" priority="956" operator="containsText" text="Functioning">
      <formula>NOT(ISERROR(SEARCH("Functioning",E166)))</formula>
    </cfRule>
  </conditionalFormatting>
  <conditionalFormatting sqref="E192">
    <cfRule type="expression" dxfId="685" priority="952">
      <formula>B13="Level 5 - Biology"</formula>
    </cfRule>
  </conditionalFormatting>
  <conditionalFormatting sqref="E189:E192">
    <cfRule type="beginsWith" dxfId="684" priority="949" stopIfTrue="1" operator="beginsWith" text="Functioning At Risk">
      <formula>LEFT(E189,LEN("Functioning At Risk"))="Functioning At Risk"</formula>
    </cfRule>
    <cfRule type="beginsWith" dxfId="683" priority="950" stopIfTrue="1" operator="beginsWith" text="Not Functioning">
      <formula>LEFT(E189,LEN("Not Functioning"))="Not Functioning"</formula>
    </cfRule>
    <cfRule type="containsText" dxfId="682" priority="951" operator="containsText" text="Functioning">
      <formula>NOT(ISERROR(SEARCH("Functioning",E189)))</formula>
    </cfRule>
  </conditionalFormatting>
  <conditionalFormatting sqref="E189:E191">
    <cfRule type="expression" dxfId="681" priority="953">
      <formula>B12="Level 5 - Biology"</formula>
    </cfRule>
  </conditionalFormatting>
  <conditionalFormatting sqref="E208:E212">
    <cfRule type="beginsWith" dxfId="680" priority="943" stopIfTrue="1" operator="beginsWith" text="Functioning At Risk">
      <formula>LEFT(E208,LEN("Functioning At Risk"))="Functioning At Risk"</formula>
    </cfRule>
    <cfRule type="beginsWith" dxfId="679" priority="944" stopIfTrue="1" operator="beginsWith" text="Not Functioning">
      <formula>LEFT(E208,LEN("Not Functioning"))="Not Functioning"</formula>
    </cfRule>
    <cfRule type="containsText" dxfId="678" priority="945" operator="containsText" text="Functioning">
      <formula>NOT(ISERROR(SEARCH("Functioning",E208)))</formula>
    </cfRule>
  </conditionalFormatting>
  <conditionalFormatting sqref="E207">
    <cfRule type="beginsWith" dxfId="677" priority="925" stopIfTrue="1" operator="beginsWith" text="Functioning At Risk">
      <formula>LEFT(E207,LEN("Functioning At Risk"))="Functioning At Risk"</formula>
    </cfRule>
    <cfRule type="beginsWith" dxfId="676" priority="926" stopIfTrue="1" operator="beginsWith" text="Not Functioning">
      <formula>LEFT(E207,LEN("Not Functioning"))="Not Functioning"</formula>
    </cfRule>
    <cfRule type="containsText" dxfId="675" priority="927" operator="containsText" text="Functioning">
      <formula>NOT(ISERROR(SEARCH("Functioning",E207)))</formula>
    </cfRule>
  </conditionalFormatting>
  <conditionalFormatting sqref="E216 E232 E203:E204 E224">
    <cfRule type="beginsWith" dxfId="674" priority="940" stopIfTrue="1" operator="beginsWith" text="Functioning At Risk">
      <formula>LEFT(E203,LEN("Functioning At Risk"))="Functioning At Risk"</formula>
    </cfRule>
    <cfRule type="beginsWith" dxfId="673" priority="941" stopIfTrue="1" operator="beginsWith" text="Not Functioning">
      <formula>LEFT(E203,LEN("Not Functioning"))="Not Functioning"</formula>
    </cfRule>
    <cfRule type="containsText" dxfId="672" priority="942" operator="containsText" text="Functioning">
      <formula>NOT(ISERROR(SEARCH("Functioning",E203)))</formula>
    </cfRule>
  </conditionalFormatting>
  <conditionalFormatting sqref="E224">
    <cfRule type="expression" dxfId="671" priority="930">
      <formula>B120="Level 4 - Physicochemical"</formula>
    </cfRule>
    <cfRule type="expression" dxfId="670" priority="934">
      <formula>B120="Level 5 - Biology"</formula>
    </cfRule>
  </conditionalFormatting>
  <conditionalFormatting sqref="E226">
    <cfRule type="expression" dxfId="669" priority="929">
      <formula>B120="Level 4 - Physicochemical"</formula>
    </cfRule>
    <cfRule type="expression" dxfId="668" priority="933">
      <formula>B120="Level 5 - Biology"</formula>
    </cfRule>
  </conditionalFormatting>
  <conditionalFormatting sqref="E227">
    <cfRule type="expression" dxfId="667" priority="928">
      <formula>B120="Level 4 - Physicochemical"</formula>
    </cfRule>
    <cfRule type="expression" dxfId="666" priority="932">
      <formula>B120="Level 5 - Biology"</formula>
    </cfRule>
  </conditionalFormatting>
  <conditionalFormatting sqref="E233">
    <cfRule type="expression" dxfId="665" priority="931">
      <formula>B120="Level 5 - Biology"</formula>
    </cfRule>
  </conditionalFormatting>
  <conditionalFormatting sqref="E214:E215">
    <cfRule type="beginsWith" dxfId="664" priority="922" stopIfTrue="1" operator="beginsWith" text="Functioning At Risk">
      <formula>LEFT(E214,LEN("Functioning At Risk"))="Functioning At Risk"</formula>
    </cfRule>
    <cfRule type="beginsWith" dxfId="663" priority="923" stopIfTrue="1" operator="beginsWith" text="Not Functioning">
      <formula>LEFT(E214,LEN("Not Functioning"))="Not Functioning"</formula>
    </cfRule>
    <cfRule type="containsText" dxfId="662" priority="924" operator="containsText" text="Functioning">
      <formula>NOT(ISERROR(SEARCH("Functioning",E214)))</formula>
    </cfRule>
  </conditionalFormatting>
  <conditionalFormatting sqref="E225">
    <cfRule type="expression" dxfId="661" priority="946">
      <formula>B121="Level 4 - Physicochemical"</formula>
    </cfRule>
    <cfRule type="expression" dxfId="660" priority="947">
      <formula>B121="Level 5 - Biology"</formula>
    </cfRule>
  </conditionalFormatting>
  <conditionalFormatting sqref="E232">
    <cfRule type="expression" dxfId="659" priority="948">
      <formula>B122="Level 5 - Biology"</formula>
    </cfRule>
  </conditionalFormatting>
  <conditionalFormatting sqref="E219:E223">
    <cfRule type="beginsWith" dxfId="658" priority="919" stopIfTrue="1" operator="beginsWith" text="Functioning At Risk">
      <formula>LEFT(E219,LEN("Functioning At Risk"))="Functioning At Risk"</formula>
    </cfRule>
    <cfRule type="beginsWith" dxfId="657" priority="920" stopIfTrue="1" operator="beginsWith" text="Not Functioning">
      <formula>LEFT(E219,LEN("Not Functioning"))="Not Functioning"</formula>
    </cfRule>
    <cfRule type="containsText" dxfId="656" priority="921" operator="containsText" text="Functioning">
      <formula>NOT(ISERROR(SEARCH("Functioning",E219)))</formula>
    </cfRule>
  </conditionalFormatting>
  <conditionalFormatting sqref="E205:E206">
    <cfRule type="beginsWith" dxfId="655" priority="916" stopIfTrue="1" operator="beginsWith" text="Functioning At Risk">
      <formula>LEFT(E205,LEN("Functioning At Risk"))="Functioning At Risk"</formula>
    </cfRule>
    <cfRule type="beginsWith" dxfId="654" priority="917" stopIfTrue="1" operator="beginsWith" text="Not Functioning">
      <formula>LEFT(E205,LEN("Not Functioning"))="Not Functioning"</formula>
    </cfRule>
    <cfRule type="containsText" dxfId="653" priority="918" operator="containsText" text="Functioning">
      <formula>NOT(ISERROR(SEARCH("Functioning",E205)))</formula>
    </cfRule>
  </conditionalFormatting>
  <conditionalFormatting sqref="E231">
    <cfRule type="expression" dxfId="652" priority="914">
      <formula>B52="Level 5 - Biology"</formula>
    </cfRule>
  </conditionalFormatting>
  <conditionalFormatting sqref="E228:E231">
    <cfRule type="beginsWith" dxfId="651" priority="911" stopIfTrue="1" operator="beginsWith" text="Functioning At Risk">
      <formula>LEFT(E228,LEN("Functioning At Risk"))="Functioning At Risk"</formula>
    </cfRule>
    <cfRule type="beginsWith" dxfId="650" priority="912" stopIfTrue="1" operator="beginsWith" text="Not Functioning">
      <formula>LEFT(E228,LEN("Not Functioning"))="Not Functioning"</formula>
    </cfRule>
    <cfRule type="containsText" dxfId="649" priority="913" operator="containsText" text="Functioning">
      <formula>NOT(ISERROR(SEARCH("Functioning",E228)))</formula>
    </cfRule>
  </conditionalFormatting>
  <conditionalFormatting sqref="E228:E230">
    <cfRule type="expression" dxfId="648" priority="915">
      <formula>B51="Level 5 - Biology"</formula>
    </cfRule>
  </conditionalFormatting>
  <conditionalFormatting sqref="E248:E252">
    <cfRule type="beginsWith" dxfId="647" priority="905" stopIfTrue="1" operator="beginsWith" text="Functioning At Risk">
      <formula>LEFT(E248,LEN("Functioning At Risk"))="Functioning At Risk"</formula>
    </cfRule>
    <cfRule type="beginsWith" dxfId="646" priority="906" stopIfTrue="1" operator="beginsWith" text="Not Functioning">
      <formula>LEFT(E248,LEN("Not Functioning"))="Not Functioning"</formula>
    </cfRule>
    <cfRule type="containsText" dxfId="645" priority="907" operator="containsText" text="Functioning">
      <formula>NOT(ISERROR(SEARCH("Functioning",E248)))</formula>
    </cfRule>
  </conditionalFormatting>
  <conditionalFormatting sqref="E247">
    <cfRule type="beginsWith" dxfId="644" priority="887" stopIfTrue="1" operator="beginsWith" text="Functioning At Risk">
      <formula>LEFT(E247,LEN("Functioning At Risk"))="Functioning At Risk"</formula>
    </cfRule>
    <cfRule type="beginsWith" dxfId="643" priority="888" stopIfTrue="1" operator="beginsWith" text="Not Functioning">
      <formula>LEFT(E247,LEN("Not Functioning"))="Not Functioning"</formula>
    </cfRule>
    <cfRule type="containsText" dxfId="642" priority="889" operator="containsText" text="Functioning">
      <formula>NOT(ISERROR(SEARCH("Functioning",E247)))</formula>
    </cfRule>
  </conditionalFormatting>
  <conditionalFormatting sqref="E256 E272 E243:E244 E264">
    <cfRule type="beginsWith" dxfId="641" priority="902" stopIfTrue="1" operator="beginsWith" text="Functioning At Risk">
      <formula>LEFT(E243,LEN("Functioning At Risk"))="Functioning At Risk"</formula>
    </cfRule>
    <cfRule type="beginsWith" dxfId="640" priority="903" stopIfTrue="1" operator="beginsWith" text="Not Functioning">
      <formula>LEFT(E243,LEN("Not Functioning"))="Not Functioning"</formula>
    </cfRule>
    <cfRule type="containsText" dxfId="639" priority="904" operator="containsText" text="Functioning">
      <formula>NOT(ISERROR(SEARCH("Functioning",E243)))</formula>
    </cfRule>
  </conditionalFormatting>
  <conditionalFormatting sqref="E273">
    <cfRule type="beginsWith" dxfId="638" priority="897" stopIfTrue="1" operator="beginsWith" text="Functioning At Risk">
      <formula>LEFT(E273,LEN("Functioning At Risk"))="Functioning At Risk"</formula>
    </cfRule>
    <cfRule type="beginsWith" dxfId="637" priority="898" stopIfTrue="1" operator="beginsWith" text="Not Functioning">
      <formula>LEFT(E273,LEN("Not Functioning"))="Not Functioning"</formula>
    </cfRule>
    <cfRule type="containsText" dxfId="636" priority="899" operator="containsText" text="Functioning">
      <formula>NOT(ISERROR(SEARCH("Functioning",E273)))</formula>
    </cfRule>
  </conditionalFormatting>
  <conditionalFormatting sqref="E264">
    <cfRule type="expression" dxfId="635" priority="892">
      <formula>B160="Level 4 - Physicochemical"</formula>
    </cfRule>
    <cfRule type="expression" dxfId="634" priority="896">
      <formula>B160="Level 5 - Biology"</formula>
    </cfRule>
  </conditionalFormatting>
  <conditionalFormatting sqref="E266">
    <cfRule type="expression" dxfId="633" priority="891">
      <formula>B160="Level 4 - Physicochemical"</formula>
    </cfRule>
    <cfRule type="expression" dxfId="632" priority="895">
      <formula>B160="Level 5 - Biology"</formula>
    </cfRule>
  </conditionalFormatting>
  <conditionalFormatting sqref="E267">
    <cfRule type="expression" dxfId="631" priority="890">
      <formula>B160="Level 4 - Physicochemical"</formula>
    </cfRule>
    <cfRule type="expression" dxfId="630" priority="894">
      <formula>B160="Level 5 - Biology"</formula>
    </cfRule>
  </conditionalFormatting>
  <conditionalFormatting sqref="E273">
    <cfRule type="expression" dxfId="629" priority="893">
      <formula>B160="Level 5 - Biology"</formula>
    </cfRule>
  </conditionalFormatting>
  <conditionalFormatting sqref="E254:E255">
    <cfRule type="beginsWith" dxfId="628" priority="884" stopIfTrue="1" operator="beginsWith" text="Functioning At Risk">
      <formula>LEFT(E254,LEN("Functioning At Risk"))="Functioning At Risk"</formula>
    </cfRule>
    <cfRule type="beginsWith" dxfId="627" priority="885" stopIfTrue="1" operator="beginsWith" text="Not Functioning">
      <formula>LEFT(E254,LEN("Not Functioning"))="Not Functioning"</formula>
    </cfRule>
    <cfRule type="containsText" dxfId="626" priority="886" operator="containsText" text="Functioning">
      <formula>NOT(ISERROR(SEARCH("Functioning",E254)))</formula>
    </cfRule>
  </conditionalFormatting>
  <conditionalFormatting sqref="E265">
    <cfRule type="expression" dxfId="625" priority="908">
      <formula>B161="Level 4 - Physicochemical"</formula>
    </cfRule>
    <cfRule type="expression" dxfId="624" priority="909">
      <formula>B161="Level 5 - Biology"</formula>
    </cfRule>
  </conditionalFormatting>
  <conditionalFormatting sqref="E272">
    <cfRule type="expression" dxfId="623" priority="910">
      <formula>B162="Level 5 - Biology"</formula>
    </cfRule>
  </conditionalFormatting>
  <conditionalFormatting sqref="E259:E263">
    <cfRule type="beginsWith" dxfId="622" priority="881" stopIfTrue="1" operator="beginsWith" text="Functioning At Risk">
      <formula>LEFT(E259,LEN("Functioning At Risk"))="Functioning At Risk"</formula>
    </cfRule>
    <cfRule type="beginsWith" dxfId="621" priority="882" stopIfTrue="1" operator="beginsWith" text="Not Functioning">
      <formula>LEFT(E259,LEN("Not Functioning"))="Not Functioning"</formula>
    </cfRule>
    <cfRule type="containsText" dxfId="620" priority="883" operator="containsText" text="Functioning">
      <formula>NOT(ISERROR(SEARCH("Functioning",E259)))</formula>
    </cfRule>
  </conditionalFormatting>
  <conditionalFormatting sqref="E245:E246">
    <cfRule type="beginsWith" dxfId="619" priority="878" stopIfTrue="1" operator="beginsWith" text="Functioning At Risk">
      <formula>LEFT(E245,LEN("Functioning At Risk"))="Functioning At Risk"</formula>
    </cfRule>
    <cfRule type="beginsWith" dxfId="618" priority="879" stopIfTrue="1" operator="beginsWith" text="Not Functioning">
      <formula>LEFT(E245,LEN("Not Functioning"))="Not Functioning"</formula>
    </cfRule>
    <cfRule type="containsText" dxfId="617" priority="880" operator="containsText" text="Functioning">
      <formula>NOT(ISERROR(SEARCH("Functioning",E245)))</formula>
    </cfRule>
  </conditionalFormatting>
  <conditionalFormatting sqref="E271">
    <cfRule type="expression" dxfId="616" priority="876">
      <formula>B92="Level 5 - Biology"</formula>
    </cfRule>
  </conditionalFormatting>
  <conditionalFormatting sqref="E268:E271">
    <cfRule type="beginsWith" dxfId="615" priority="873" stopIfTrue="1" operator="beginsWith" text="Functioning At Risk">
      <formula>LEFT(E268,LEN("Functioning At Risk"))="Functioning At Risk"</formula>
    </cfRule>
    <cfRule type="beginsWith" dxfId="614" priority="874" stopIfTrue="1" operator="beginsWith" text="Not Functioning">
      <formula>LEFT(E268,LEN("Not Functioning"))="Not Functioning"</formula>
    </cfRule>
    <cfRule type="containsText" dxfId="613" priority="875" operator="containsText" text="Functioning">
      <formula>NOT(ISERROR(SEARCH("Functioning",E268)))</formula>
    </cfRule>
  </conditionalFormatting>
  <conditionalFormatting sqref="E268:E270">
    <cfRule type="expression" dxfId="612" priority="877">
      <formula>B91="Level 5 - Biology"</formula>
    </cfRule>
  </conditionalFormatting>
  <conditionalFormatting sqref="E288:E292">
    <cfRule type="beginsWith" dxfId="611" priority="867" stopIfTrue="1" operator="beginsWith" text="Functioning At Risk">
      <formula>LEFT(E288,LEN("Functioning At Risk"))="Functioning At Risk"</formula>
    </cfRule>
    <cfRule type="beginsWith" dxfId="610" priority="868" stopIfTrue="1" operator="beginsWith" text="Not Functioning">
      <formula>LEFT(E288,LEN("Not Functioning"))="Not Functioning"</formula>
    </cfRule>
    <cfRule type="containsText" dxfId="609" priority="869" operator="containsText" text="Functioning">
      <formula>NOT(ISERROR(SEARCH("Functioning",E288)))</formula>
    </cfRule>
  </conditionalFormatting>
  <conditionalFormatting sqref="E287">
    <cfRule type="beginsWith" dxfId="608" priority="849" stopIfTrue="1" operator="beginsWith" text="Functioning At Risk">
      <formula>LEFT(E287,LEN("Functioning At Risk"))="Functioning At Risk"</formula>
    </cfRule>
    <cfRule type="beginsWith" dxfId="607" priority="850" stopIfTrue="1" operator="beginsWith" text="Not Functioning">
      <formula>LEFT(E287,LEN("Not Functioning"))="Not Functioning"</formula>
    </cfRule>
    <cfRule type="containsText" dxfId="606" priority="851" operator="containsText" text="Functioning">
      <formula>NOT(ISERROR(SEARCH("Functioning",E287)))</formula>
    </cfRule>
  </conditionalFormatting>
  <conditionalFormatting sqref="E296 E312 E283:E284 E304">
    <cfRule type="beginsWith" dxfId="605" priority="864" stopIfTrue="1" operator="beginsWith" text="Functioning At Risk">
      <formula>LEFT(E283,LEN("Functioning At Risk"))="Functioning At Risk"</formula>
    </cfRule>
    <cfRule type="beginsWith" dxfId="604" priority="865" stopIfTrue="1" operator="beginsWith" text="Not Functioning">
      <formula>LEFT(E283,LEN("Not Functioning"))="Not Functioning"</formula>
    </cfRule>
    <cfRule type="containsText" dxfId="603" priority="866" operator="containsText" text="Functioning">
      <formula>NOT(ISERROR(SEARCH("Functioning",E283)))</formula>
    </cfRule>
  </conditionalFormatting>
  <conditionalFormatting sqref="E313">
    <cfRule type="beginsWith" dxfId="602" priority="859" stopIfTrue="1" operator="beginsWith" text="Functioning At Risk">
      <formula>LEFT(E313,LEN("Functioning At Risk"))="Functioning At Risk"</formula>
    </cfRule>
    <cfRule type="beginsWith" dxfId="601" priority="860" stopIfTrue="1" operator="beginsWith" text="Not Functioning">
      <formula>LEFT(E313,LEN("Not Functioning"))="Not Functioning"</formula>
    </cfRule>
    <cfRule type="containsText" dxfId="600" priority="861" operator="containsText" text="Functioning">
      <formula>NOT(ISERROR(SEARCH("Functioning",E313)))</formula>
    </cfRule>
  </conditionalFormatting>
  <conditionalFormatting sqref="E304">
    <cfRule type="expression" dxfId="599" priority="854">
      <formula>B200="Level 4 - Physicochemical"</formula>
    </cfRule>
    <cfRule type="expression" dxfId="598" priority="858">
      <formula>B200="Level 5 - Biology"</formula>
    </cfRule>
  </conditionalFormatting>
  <conditionalFormatting sqref="E306">
    <cfRule type="expression" dxfId="597" priority="853">
      <formula>B200="Level 4 - Physicochemical"</formula>
    </cfRule>
    <cfRule type="expression" dxfId="596" priority="857">
      <formula>B200="Level 5 - Biology"</formula>
    </cfRule>
  </conditionalFormatting>
  <conditionalFormatting sqref="E307">
    <cfRule type="expression" dxfId="595" priority="852">
      <formula>B200="Level 4 - Physicochemical"</formula>
    </cfRule>
    <cfRule type="expression" dxfId="594" priority="856">
      <formula>B200="Level 5 - Biology"</formula>
    </cfRule>
  </conditionalFormatting>
  <conditionalFormatting sqref="E313">
    <cfRule type="expression" dxfId="593" priority="855">
      <formula>B200="Level 5 - Biology"</formula>
    </cfRule>
  </conditionalFormatting>
  <conditionalFormatting sqref="E294:E295">
    <cfRule type="beginsWith" dxfId="592" priority="846" stopIfTrue="1" operator="beginsWith" text="Functioning At Risk">
      <formula>LEFT(E294,LEN("Functioning At Risk"))="Functioning At Risk"</formula>
    </cfRule>
    <cfRule type="beginsWith" dxfId="591" priority="847" stopIfTrue="1" operator="beginsWith" text="Not Functioning">
      <formula>LEFT(E294,LEN("Not Functioning"))="Not Functioning"</formula>
    </cfRule>
    <cfRule type="containsText" dxfId="590" priority="848" operator="containsText" text="Functioning">
      <formula>NOT(ISERROR(SEARCH("Functioning",E294)))</formula>
    </cfRule>
  </conditionalFormatting>
  <conditionalFormatting sqref="E305">
    <cfRule type="expression" dxfId="589" priority="870">
      <formula>B201="Level 4 - Physicochemical"</formula>
    </cfRule>
    <cfRule type="expression" dxfId="588" priority="871">
      <formula>B201="Level 5 - Biology"</formula>
    </cfRule>
  </conditionalFormatting>
  <conditionalFormatting sqref="E312">
    <cfRule type="expression" dxfId="587" priority="872">
      <formula>B202="Level 5 - Biology"</formula>
    </cfRule>
  </conditionalFormatting>
  <conditionalFormatting sqref="E299:E303">
    <cfRule type="beginsWith" dxfId="586" priority="843" stopIfTrue="1" operator="beginsWith" text="Functioning At Risk">
      <formula>LEFT(E299,LEN("Functioning At Risk"))="Functioning At Risk"</formula>
    </cfRule>
    <cfRule type="beginsWith" dxfId="585" priority="844" stopIfTrue="1" operator="beginsWith" text="Not Functioning">
      <formula>LEFT(E299,LEN("Not Functioning"))="Not Functioning"</formula>
    </cfRule>
    <cfRule type="containsText" dxfId="584" priority="845" operator="containsText" text="Functioning">
      <formula>NOT(ISERROR(SEARCH("Functioning",E299)))</formula>
    </cfRule>
  </conditionalFormatting>
  <conditionalFormatting sqref="E285:E286">
    <cfRule type="beginsWith" dxfId="583" priority="840" stopIfTrue="1" operator="beginsWith" text="Functioning At Risk">
      <formula>LEFT(E285,LEN("Functioning At Risk"))="Functioning At Risk"</formula>
    </cfRule>
    <cfRule type="beginsWith" dxfId="582" priority="841" stopIfTrue="1" operator="beginsWith" text="Not Functioning">
      <formula>LEFT(E285,LEN("Not Functioning"))="Not Functioning"</formula>
    </cfRule>
    <cfRule type="containsText" dxfId="581" priority="842" operator="containsText" text="Functioning">
      <formula>NOT(ISERROR(SEARCH("Functioning",E285)))</formula>
    </cfRule>
  </conditionalFormatting>
  <conditionalFormatting sqref="E311">
    <cfRule type="expression" dxfId="580" priority="838">
      <formula>B132="Level 5 - Biology"</formula>
    </cfRule>
  </conditionalFormatting>
  <conditionalFormatting sqref="E308:E311">
    <cfRule type="beginsWith" dxfId="579" priority="835" stopIfTrue="1" operator="beginsWith" text="Functioning At Risk">
      <formula>LEFT(E308,LEN("Functioning At Risk"))="Functioning At Risk"</formula>
    </cfRule>
    <cfRule type="beginsWith" dxfId="578" priority="836" stopIfTrue="1" operator="beginsWith" text="Not Functioning">
      <formula>LEFT(E308,LEN("Not Functioning"))="Not Functioning"</formula>
    </cfRule>
    <cfRule type="containsText" dxfId="577" priority="837" operator="containsText" text="Functioning">
      <formula>NOT(ISERROR(SEARCH("Functioning",E308)))</formula>
    </cfRule>
  </conditionalFormatting>
  <conditionalFormatting sqref="E308:E310">
    <cfRule type="expression" dxfId="576" priority="839">
      <formula>B131="Level 5 - Biology"</formula>
    </cfRule>
  </conditionalFormatting>
  <conditionalFormatting sqref="E328:E332">
    <cfRule type="beginsWith" dxfId="575" priority="829" stopIfTrue="1" operator="beginsWith" text="Functioning At Risk">
      <formula>LEFT(E328,LEN("Functioning At Risk"))="Functioning At Risk"</formula>
    </cfRule>
    <cfRule type="beginsWith" dxfId="574" priority="830" stopIfTrue="1" operator="beginsWith" text="Not Functioning">
      <formula>LEFT(E328,LEN("Not Functioning"))="Not Functioning"</formula>
    </cfRule>
    <cfRule type="containsText" dxfId="573" priority="831" operator="containsText" text="Functioning">
      <formula>NOT(ISERROR(SEARCH("Functioning",E328)))</formula>
    </cfRule>
  </conditionalFormatting>
  <conditionalFormatting sqref="E327">
    <cfRule type="beginsWith" dxfId="572" priority="811" stopIfTrue="1" operator="beginsWith" text="Functioning At Risk">
      <formula>LEFT(E327,LEN("Functioning At Risk"))="Functioning At Risk"</formula>
    </cfRule>
    <cfRule type="beginsWith" dxfId="571" priority="812" stopIfTrue="1" operator="beginsWith" text="Not Functioning">
      <formula>LEFT(E327,LEN("Not Functioning"))="Not Functioning"</formula>
    </cfRule>
    <cfRule type="containsText" dxfId="570" priority="813" operator="containsText" text="Functioning">
      <formula>NOT(ISERROR(SEARCH("Functioning",E327)))</formula>
    </cfRule>
  </conditionalFormatting>
  <conditionalFormatting sqref="E336 E352 E323:E324 E344">
    <cfRule type="beginsWith" dxfId="569" priority="826" stopIfTrue="1" operator="beginsWith" text="Functioning At Risk">
      <formula>LEFT(E323,LEN("Functioning At Risk"))="Functioning At Risk"</formula>
    </cfRule>
    <cfRule type="beginsWith" dxfId="568" priority="827" stopIfTrue="1" operator="beginsWith" text="Not Functioning">
      <formula>LEFT(E323,LEN("Not Functioning"))="Not Functioning"</formula>
    </cfRule>
    <cfRule type="containsText" dxfId="567" priority="828" operator="containsText" text="Functioning">
      <formula>NOT(ISERROR(SEARCH("Functioning",E323)))</formula>
    </cfRule>
  </conditionalFormatting>
  <conditionalFormatting sqref="E353">
    <cfRule type="beginsWith" dxfId="566" priority="821" stopIfTrue="1" operator="beginsWith" text="Functioning At Risk">
      <formula>LEFT(E353,LEN("Functioning At Risk"))="Functioning At Risk"</formula>
    </cfRule>
    <cfRule type="beginsWith" dxfId="565" priority="822" stopIfTrue="1" operator="beginsWith" text="Not Functioning">
      <formula>LEFT(E353,LEN("Not Functioning"))="Not Functioning"</formula>
    </cfRule>
    <cfRule type="containsText" dxfId="564" priority="823" operator="containsText" text="Functioning">
      <formula>NOT(ISERROR(SEARCH("Functioning",E353)))</formula>
    </cfRule>
  </conditionalFormatting>
  <conditionalFormatting sqref="E344">
    <cfRule type="expression" dxfId="563" priority="816">
      <formula>B240="Level 4 - Physicochemical"</formula>
    </cfRule>
    <cfRule type="expression" dxfId="562" priority="820">
      <formula>B240="Level 5 - Biology"</formula>
    </cfRule>
  </conditionalFormatting>
  <conditionalFormatting sqref="E346">
    <cfRule type="expression" dxfId="561" priority="815">
      <formula>B240="Level 4 - Physicochemical"</formula>
    </cfRule>
    <cfRule type="expression" dxfId="560" priority="819">
      <formula>B240="Level 5 - Biology"</formula>
    </cfRule>
  </conditionalFormatting>
  <conditionalFormatting sqref="E347">
    <cfRule type="expression" dxfId="559" priority="814">
      <formula>B240="Level 4 - Physicochemical"</formula>
    </cfRule>
    <cfRule type="expression" dxfId="558" priority="818">
      <formula>B240="Level 5 - Biology"</formula>
    </cfRule>
  </conditionalFormatting>
  <conditionalFormatting sqref="E353">
    <cfRule type="expression" dxfId="557" priority="817">
      <formula>B240="Level 5 - Biology"</formula>
    </cfRule>
  </conditionalFormatting>
  <conditionalFormatting sqref="E334:E335">
    <cfRule type="beginsWith" dxfId="556" priority="808" stopIfTrue="1" operator="beginsWith" text="Functioning At Risk">
      <formula>LEFT(E334,LEN("Functioning At Risk"))="Functioning At Risk"</formula>
    </cfRule>
    <cfRule type="beginsWith" dxfId="555" priority="809" stopIfTrue="1" operator="beginsWith" text="Not Functioning">
      <formula>LEFT(E334,LEN("Not Functioning"))="Not Functioning"</formula>
    </cfRule>
    <cfRule type="containsText" dxfId="554" priority="810" operator="containsText" text="Functioning">
      <formula>NOT(ISERROR(SEARCH("Functioning",E334)))</formula>
    </cfRule>
  </conditionalFormatting>
  <conditionalFormatting sqref="E345">
    <cfRule type="expression" dxfId="553" priority="832">
      <formula>B241="Level 4 - Physicochemical"</formula>
    </cfRule>
    <cfRule type="expression" dxfId="552" priority="833">
      <formula>B241="Level 5 - Biology"</formula>
    </cfRule>
  </conditionalFormatting>
  <conditionalFormatting sqref="E352">
    <cfRule type="expression" dxfId="551" priority="834">
      <formula>B242="Level 5 - Biology"</formula>
    </cfRule>
  </conditionalFormatting>
  <conditionalFormatting sqref="E339:E343">
    <cfRule type="beginsWith" dxfId="550" priority="805" stopIfTrue="1" operator="beginsWith" text="Functioning At Risk">
      <formula>LEFT(E339,LEN("Functioning At Risk"))="Functioning At Risk"</formula>
    </cfRule>
    <cfRule type="beginsWith" dxfId="549" priority="806" stopIfTrue="1" operator="beginsWith" text="Not Functioning">
      <formula>LEFT(E339,LEN("Not Functioning"))="Not Functioning"</formula>
    </cfRule>
    <cfRule type="containsText" dxfId="548" priority="807" operator="containsText" text="Functioning">
      <formula>NOT(ISERROR(SEARCH("Functioning",E339)))</formula>
    </cfRule>
  </conditionalFormatting>
  <conditionalFormatting sqref="E325:E326">
    <cfRule type="beginsWith" dxfId="547" priority="802" stopIfTrue="1" operator="beginsWith" text="Functioning At Risk">
      <formula>LEFT(E325,LEN("Functioning At Risk"))="Functioning At Risk"</formula>
    </cfRule>
    <cfRule type="beginsWith" dxfId="546" priority="803" stopIfTrue="1" operator="beginsWith" text="Not Functioning">
      <formula>LEFT(E325,LEN("Not Functioning"))="Not Functioning"</formula>
    </cfRule>
    <cfRule type="containsText" dxfId="545" priority="804" operator="containsText" text="Functioning">
      <formula>NOT(ISERROR(SEARCH("Functioning",E325)))</formula>
    </cfRule>
  </conditionalFormatting>
  <conditionalFormatting sqref="E351">
    <cfRule type="expression" dxfId="544" priority="800">
      <formula>B172="Level 5 - Biology"</formula>
    </cfRule>
  </conditionalFormatting>
  <conditionalFormatting sqref="E348:E351">
    <cfRule type="beginsWith" dxfId="543" priority="797" stopIfTrue="1" operator="beginsWith" text="Functioning At Risk">
      <formula>LEFT(E348,LEN("Functioning At Risk"))="Functioning At Risk"</formula>
    </cfRule>
    <cfRule type="beginsWith" dxfId="542" priority="798" stopIfTrue="1" operator="beginsWith" text="Not Functioning">
      <formula>LEFT(E348,LEN("Not Functioning"))="Not Functioning"</formula>
    </cfRule>
    <cfRule type="containsText" dxfId="541" priority="799" operator="containsText" text="Functioning">
      <formula>NOT(ISERROR(SEARCH("Functioning",E348)))</formula>
    </cfRule>
  </conditionalFormatting>
  <conditionalFormatting sqref="E348:E350">
    <cfRule type="expression" dxfId="540" priority="801">
      <formula>B171="Level 5 - Biology"</formula>
    </cfRule>
  </conditionalFormatting>
  <conditionalFormatting sqref="E368:E372">
    <cfRule type="beginsWith" dxfId="539" priority="791" stopIfTrue="1" operator="beginsWith" text="Functioning At Risk">
      <formula>LEFT(E368,LEN("Functioning At Risk"))="Functioning At Risk"</formula>
    </cfRule>
    <cfRule type="beginsWith" dxfId="538" priority="792" stopIfTrue="1" operator="beginsWith" text="Not Functioning">
      <formula>LEFT(E368,LEN("Not Functioning"))="Not Functioning"</formula>
    </cfRule>
    <cfRule type="containsText" dxfId="537" priority="793" operator="containsText" text="Functioning">
      <formula>NOT(ISERROR(SEARCH("Functioning",E368)))</formula>
    </cfRule>
  </conditionalFormatting>
  <conditionalFormatting sqref="E367">
    <cfRule type="beginsWith" dxfId="536" priority="773" stopIfTrue="1" operator="beginsWith" text="Functioning At Risk">
      <formula>LEFT(E367,LEN("Functioning At Risk"))="Functioning At Risk"</formula>
    </cfRule>
    <cfRule type="beginsWith" dxfId="535" priority="774" stopIfTrue="1" operator="beginsWith" text="Not Functioning">
      <formula>LEFT(E367,LEN("Not Functioning"))="Not Functioning"</formula>
    </cfRule>
    <cfRule type="containsText" dxfId="534" priority="775" operator="containsText" text="Functioning">
      <formula>NOT(ISERROR(SEARCH("Functioning",E367)))</formula>
    </cfRule>
  </conditionalFormatting>
  <conditionalFormatting sqref="E376 E392 E363:E364 E384">
    <cfRule type="beginsWith" dxfId="533" priority="788" stopIfTrue="1" operator="beginsWith" text="Functioning At Risk">
      <formula>LEFT(E363,LEN("Functioning At Risk"))="Functioning At Risk"</formula>
    </cfRule>
    <cfRule type="beginsWith" dxfId="532" priority="789" stopIfTrue="1" operator="beginsWith" text="Not Functioning">
      <formula>LEFT(E363,LEN("Not Functioning"))="Not Functioning"</formula>
    </cfRule>
    <cfRule type="containsText" dxfId="531" priority="790" operator="containsText" text="Functioning">
      <formula>NOT(ISERROR(SEARCH("Functioning",E363)))</formula>
    </cfRule>
  </conditionalFormatting>
  <conditionalFormatting sqref="E393">
    <cfRule type="beginsWith" dxfId="530" priority="783" stopIfTrue="1" operator="beginsWith" text="Functioning At Risk">
      <formula>LEFT(E393,LEN("Functioning At Risk"))="Functioning At Risk"</formula>
    </cfRule>
    <cfRule type="beginsWith" dxfId="529" priority="784" stopIfTrue="1" operator="beginsWith" text="Not Functioning">
      <formula>LEFT(E393,LEN("Not Functioning"))="Not Functioning"</formula>
    </cfRule>
    <cfRule type="containsText" dxfId="528" priority="785" operator="containsText" text="Functioning">
      <formula>NOT(ISERROR(SEARCH("Functioning",E393)))</formula>
    </cfRule>
  </conditionalFormatting>
  <conditionalFormatting sqref="E384">
    <cfRule type="expression" dxfId="527" priority="778">
      <formula>B280="Level 4 - Physicochemical"</formula>
    </cfRule>
    <cfRule type="expression" dxfId="526" priority="782">
      <formula>B280="Level 5 - Biology"</formula>
    </cfRule>
  </conditionalFormatting>
  <conditionalFormatting sqref="E386">
    <cfRule type="expression" dxfId="525" priority="777">
      <formula>B280="Level 4 - Physicochemical"</formula>
    </cfRule>
    <cfRule type="expression" dxfId="524" priority="781">
      <formula>B280="Level 5 - Biology"</formula>
    </cfRule>
  </conditionalFormatting>
  <conditionalFormatting sqref="E387">
    <cfRule type="expression" dxfId="523" priority="776">
      <formula>B280="Level 4 - Physicochemical"</formula>
    </cfRule>
    <cfRule type="expression" dxfId="522" priority="780">
      <formula>B280="Level 5 - Biology"</formula>
    </cfRule>
  </conditionalFormatting>
  <conditionalFormatting sqref="E393">
    <cfRule type="expression" dxfId="521" priority="779">
      <formula>B280="Level 5 - Biology"</formula>
    </cfRule>
  </conditionalFormatting>
  <conditionalFormatting sqref="E374:E375">
    <cfRule type="beginsWith" dxfId="520" priority="770" stopIfTrue="1" operator="beginsWith" text="Functioning At Risk">
      <formula>LEFT(E374,LEN("Functioning At Risk"))="Functioning At Risk"</formula>
    </cfRule>
    <cfRule type="beginsWith" dxfId="519" priority="771" stopIfTrue="1" operator="beginsWith" text="Not Functioning">
      <formula>LEFT(E374,LEN("Not Functioning"))="Not Functioning"</formula>
    </cfRule>
    <cfRule type="containsText" dxfId="518" priority="772" operator="containsText" text="Functioning">
      <formula>NOT(ISERROR(SEARCH("Functioning",E374)))</formula>
    </cfRule>
  </conditionalFormatting>
  <conditionalFormatting sqref="E385">
    <cfRule type="expression" dxfId="517" priority="794">
      <formula>B281="Level 4 - Physicochemical"</formula>
    </cfRule>
    <cfRule type="expression" dxfId="516" priority="795">
      <formula>B281="Level 5 - Biology"</formula>
    </cfRule>
  </conditionalFormatting>
  <conditionalFormatting sqref="E392">
    <cfRule type="expression" dxfId="515" priority="796">
      <formula>B282="Level 5 - Biology"</formula>
    </cfRule>
  </conditionalFormatting>
  <conditionalFormatting sqref="E379:E383">
    <cfRule type="beginsWith" dxfId="514" priority="767" stopIfTrue="1" operator="beginsWith" text="Functioning At Risk">
      <formula>LEFT(E379,LEN("Functioning At Risk"))="Functioning At Risk"</formula>
    </cfRule>
    <cfRule type="beginsWith" dxfId="513" priority="768" stopIfTrue="1" operator="beginsWith" text="Not Functioning">
      <formula>LEFT(E379,LEN("Not Functioning"))="Not Functioning"</formula>
    </cfRule>
    <cfRule type="containsText" dxfId="512" priority="769" operator="containsText" text="Functioning">
      <formula>NOT(ISERROR(SEARCH("Functioning",E379)))</formula>
    </cfRule>
  </conditionalFormatting>
  <conditionalFormatting sqref="E365:E366">
    <cfRule type="beginsWith" dxfId="511" priority="764" stopIfTrue="1" operator="beginsWith" text="Functioning At Risk">
      <formula>LEFT(E365,LEN("Functioning At Risk"))="Functioning At Risk"</formula>
    </cfRule>
    <cfRule type="beginsWith" dxfId="510" priority="765" stopIfTrue="1" operator="beginsWith" text="Not Functioning">
      <formula>LEFT(E365,LEN("Not Functioning"))="Not Functioning"</formula>
    </cfRule>
    <cfRule type="containsText" dxfId="509" priority="766" operator="containsText" text="Functioning">
      <formula>NOT(ISERROR(SEARCH("Functioning",E365)))</formula>
    </cfRule>
  </conditionalFormatting>
  <conditionalFormatting sqref="E391">
    <cfRule type="expression" dxfId="508" priority="762">
      <formula>B212="Level 5 - Biology"</formula>
    </cfRule>
  </conditionalFormatting>
  <conditionalFormatting sqref="E388:E391">
    <cfRule type="beginsWith" dxfId="507" priority="759" stopIfTrue="1" operator="beginsWith" text="Functioning At Risk">
      <formula>LEFT(E388,LEN("Functioning At Risk"))="Functioning At Risk"</formula>
    </cfRule>
    <cfRule type="beginsWith" dxfId="506" priority="760" stopIfTrue="1" operator="beginsWith" text="Not Functioning">
      <formula>LEFT(E388,LEN("Not Functioning"))="Not Functioning"</formula>
    </cfRule>
    <cfRule type="containsText" dxfId="505" priority="761" operator="containsText" text="Functioning">
      <formula>NOT(ISERROR(SEARCH("Functioning",E388)))</formula>
    </cfRule>
  </conditionalFormatting>
  <conditionalFormatting sqref="E388:E390">
    <cfRule type="expression" dxfId="504" priority="763">
      <formula>B211="Level 5 - Biology"</formula>
    </cfRule>
  </conditionalFormatting>
  <conditionalFormatting sqref="E408:E412">
    <cfRule type="beginsWith" dxfId="503" priority="753" stopIfTrue="1" operator="beginsWith" text="Functioning At Risk">
      <formula>LEFT(E408,LEN("Functioning At Risk"))="Functioning At Risk"</formula>
    </cfRule>
    <cfRule type="beginsWith" dxfId="502" priority="754" stopIfTrue="1" operator="beginsWith" text="Not Functioning">
      <formula>LEFT(E408,LEN("Not Functioning"))="Not Functioning"</formula>
    </cfRule>
    <cfRule type="containsText" dxfId="501" priority="755" operator="containsText" text="Functioning">
      <formula>NOT(ISERROR(SEARCH("Functioning",E408)))</formula>
    </cfRule>
  </conditionalFormatting>
  <conditionalFormatting sqref="E407">
    <cfRule type="beginsWith" dxfId="500" priority="735" stopIfTrue="1" operator="beginsWith" text="Functioning At Risk">
      <formula>LEFT(E407,LEN("Functioning At Risk"))="Functioning At Risk"</formula>
    </cfRule>
    <cfRule type="beginsWith" dxfId="499" priority="736" stopIfTrue="1" operator="beginsWith" text="Not Functioning">
      <formula>LEFT(E407,LEN("Not Functioning"))="Not Functioning"</formula>
    </cfRule>
    <cfRule type="containsText" dxfId="498" priority="737" operator="containsText" text="Functioning">
      <formula>NOT(ISERROR(SEARCH("Functioning",E407)))</formula>
    </cfRule>
  </conditionalFormatting>
  <conditionalFormatting sqref="E416 E432 E403:E404 E424">
    <cfRule type="beginsWith" dxfId="497" priority="750" stopIfTrue="1" operator="beginsWith" text="Functioning At Risk">
      <formula>LEFT(E403,LEN("Functioning At Risk"))="Functioning At Risk"</formula>
    </cfRule>
    <cfRule type="beginsWith" dxfId="496" priority="751" stopIfTrue="1" operator="beginsWith" text="Not Functioning">
      <formula>LEFT(E403,LEN("Not Functioning"))="Not Functioning"</formula>
    </cfRule>
    <cfRule type="containsText" dxfId="495" priority="752" operator="containsText" text="Functioning">
      <formula>NOT(ISERROR(SEARCH("Functioning",E403)))</formula>
    </cfRule>
  </conditionalFormatting>
  <conditionalFormatting sqref="E433">
    <cfRule type="beginsWith" dxfId="494" priority="745" stopIfTrue="1" operator="beginsWith" text="Functioning At Risk">
      <formula>LEFT(E433,LEN("Functioning At Risk"))="Functioning At Risk"</formula>
    </cfRule>
    <cfRule type="beginsWith" dxfId="493" priority="746" stopIfTrue="1" operator="beginsWith" text="Not Functioning">
      <formula>LEFT(E433,LEN("Not Functioning"))="Not Functioning"</formula>
    </cfRule>
    <cfRule type="containsText" dxfId="492" priority="747" operator="containsText" text="Functioning">
      <formula>NOT(ISERROR(SEARCH("Functioning",E433)))</formula>
    </cfRule>
  </conditionalFormatting>
  <conditionalFormatting sqref="E424">
    <cfRule type="expression" dxfId="491" priority="740">
      <formula>B320="Level 4 - Physicochemical"</formula>
    </cfRule>
    <cfRule type="expression" dxfId="490" priority="744">
      <formula>B320="Level 5 - Biology"</formula>
    </cfRule>
  </conditionalFormatting>
  <conditionalFormatting sqref="E426">
    <cfRule type="expression" dxfId="489" priority="739">
      <formula>B320="Level 4 - Physicochemical"</formula>
    </cfRule>
    <cfRule type="expression" dxfId="488" priority="743">
      <formula>B320="Level 5 - Biology"</formula>
    </cfRule>
  </conditionalFormatting>
  <conditionalFormatting sqref="E427">
    <cfRule type="expression" dxfId="487" priority="738">
      <formula>B320="Level 4 - Physicochemical"</formula>
    </cfRule>
    <cfRule type="expression" dxfId="486" priority="742">
      <formula>B320="Level 5 - Biology"</formula>
    </cfRule>
  </conditionalFormatting>
  <conditionalFormatting sqref="E433">
    <cfRule type="expression" dxfId="485" priority="741">
      <formula>B320="Level 5 - Biology"</formula>
    </cfRule>
  </conditionalFormatting>
  <conditionalFormatting sqref="E414:E415">
    <cfRule type="beginsWith" dxfId="484" priority="732" stopIfTrue="1" operator="beginsWith" text="Functioning At Risk">
      <formula>LEFT(E414,LEN("Functioning At Risk"))="Functioning At Risk"</formula>
    </cfRule>
    <cfRule type="beginsWith" dxfId="483" priority="733" stopIfTrue="1" operator="beginsWith" text="Not Functioning">
      <formula>LEFT(E414,LEN("Not Functioning"))="Not Functioning"</formula>
    </cfRule>
    <cfRule type="containsText" dxfId="482" priority="734" operator="containsText" text="Functioning">
      <formula>NOT(ISERROR(SEARCH("Functioning",E414)))</formula>
    </cfRule>
  </conditionalFormatting>
  <conditionalFormatting sqref="E425">
    <cfRule type="expression" dxfId="481" priority="756">
      <formula>B321="Level 4 - Physicochemical"</formula>
    </cfRule>
    <cfRule type="expression" dxfId="480" priority="757">
      <formula>B321="Level 5 - Biology"</formula>
    </cfRule>
  </conditionalFormatting>
  <conditionalFormatting sqref="E432">
    <cfRule type="expression" dxfId="479" priority="758">
      <formula>B322="Level 5 - Biology"</formula>
    </cfRule>
  </conditionalFormatting>
  <conditionalFormatting sqref="E419:E423">
    <cfRule type="beginsWith" dxfId="478" priority="729" stopIfTrue="1" operator="beginsWith" text="Functioning At Risk">
      <formula>LEFT(E419,LEN("Functioning At Risk"))="Functioning At Risk"</formula>
    </cfRule>
    <cfRule type="beginsWith" dxfId="477" priority="730" stopIfTrue="1" operator="beginsWith" text="Not Functioning">
      <formula>LEFT(E419,LEN("Not Functioning"))="Not Functioning"</formula>
    </cfRule>
    <cfRule type="containsText" dxfId="476" priority="731" operator="containsText" text="Functioning">
      <formula>NOT(ISERROR(SEARCH("Functioning",E419)))</formula>
    </cfRule>
  </conditionalFormatting>
  <conditionalFormatting sqref="E405:E406">
    <cfRule type="beginsWith" dxfId="475" priority="726" stopIfTrue="1" operator="beginsWith" text="Functioning At Risk">
      <formula>LEFT(E405,LEN("Functioning At Risk"))="Functioning At Risk"</formula>
    </cfRule>
    <cfRule type="beginsWith" dxfId="474" priority="727" stopIfTrue="1" operator="beginsWith" text="Not Functioning">
      <formula>LEFT(E405,LEN("Not Functioning"))="Not Functioning"</formula>
    </cfRule>
    <cfRule type="containsText" dxfId="473" priority="728" operator="containsText" text="Functioning">
      <formula>NOT(ISERROR(SEARCH("Functioning",E405)))</formula>
    </cfRule>
  </conditionalFormatting>
  <conditionalFormatting sqref="E431">
    <cfRule type="expression" dxfId="472" priority="724">
      <formula>B252="Level 5 - Biology"</formula>
    </cfRule>
  </conditionalFormatting>
  <conditionalFormatting sqref="E428:E431">
    <cfRule type="beginsWith" dxfId="471" priority="721" stopIfTrue="1" operator="beginsWith" text="Functioning At Risk">
      <formula>LEFT(E428,LEN("Functioning At Risk"))="Functioning At Risk"</formula>
    </cfRule>
    <cfRule type="beginsWith" dxfId="470" priority="722" stopIfTrue="1" operator="beginsWith" text="Not Functioning">
      <formula>LEFT(E428,LEN("Not Functioning"))="Not Functioning"</formula>
    </cfRule>
    <cfRule type="containsText" dxfId="469" priority="723" operator="containsText" text="Functioning">
      <formula>NOT(ISERROR(SEARCH("Functioning",E428)))</formula>
    </cfRule>
  </conditionalFormatting>
  <conditionalFormatting sqref="E428:E430">
    <cfRule type="expression" dxfId="468" priority="725">
      <formula>B251="Level 5 - Biology"</formula>
    </cfRule>
  </conditionalFormatting>
  <conditionalFormatting sqref="C416 C428:C429 C410:C412 C419:C420 C431 C423 C403:C408">
    <cfRule type="beginsWith" dxfId="467" priority="421" stopIfTrue="1" operator="beginsWith" text="Functioning At Risk">
      <formula>LEFT(C403,LEN("Functioning At Risk"))="Functioning At Risk"</formula>
    </cfRule>
    <cfRule type="beginsWith" dxfId="466" priority="422" stopIfTrue="1" operator="beginsWith" text="Not Functioning">
      <formula>LEFT(C403,LEN("Not Functioning"))="Not Functioning"</formula>
    </cfRule>
    <cfRule type="containsText" dxfId="465" priority="423" operator="containsText" text="Functioning">
      <formula>NOT(ISERROR(SEARCH("Functioning",C403)))</formula>
    </cfRule>
  </conditionalFormatting>
  <conditionalFormatting sqref="C413">
    <cfRule type="beginsWith" dxfId="464" priority="418" stopIfTrue="1" operator="beginsWith" text="Functioning At Risk">
      <formula>LEFT(C413,LEN("Functioning At Risk"))="Functioning At Risk"</formula>
    </cfRule>
    <cfRule type="beginsWith" dxfId="463" priority="419" stopIfTrue="1" operator="beginsWith" text="Not Functioning">
      <formula>LEFT(C413,LEN("Not Functioning"))="Not Functioning"</formula>
    </cfRule>
    <cfRule type="containsText" dxfId="462" priority="420" operator="containsText" text="Functioning">
      <formula>NOT(ISERROR(SEARCH("Functioning",C413)))</formula>
    </cfRule>
  </conditionalFormatting>
  <conditionalFormatting sqref="C417">
    <cfRule type="beginsWith" dxfId="461" priority="415" stopIfTrue="1" operator="beginsWith" text="Functioning At Risk">
      <formula>LEFT(C417,LEN("Functioning At Risk"))="Functioning At Risk"</formula>
    </cfRule>
    <cfRule type="beginsWith" dxfId="460" priority="416" stopIfTrue="1" operator="beginsWith" text="Not Functioning">
      <formula>LEFT(C417,LEN("Not Functioning"))="Not Functioning"</formula>
    </cfRule>
    <cfRule type="containsText" dxfId="459" priority="417" operator="containsText" text="Functioning">
      <formula>NOT(ISERROR(SEARCH("Functioning",C417)))</formula>
    </cfRule>
  </conditionalFormatting>
  <conditionalFormatting sqref="C418">
    <cfRule type="beginsWith" dxfId="458" priority="412" stopIfTrue="1" operator="beginsWith" text="Functioning At Risk">
      <formula>LEFT(C418,LEN("Functioning At Risk"))="Functioning At Risk"</formula>
    </cfRule>
    <cfRule type="beginsWith" dxfId="457" priority="413" stopIfTrue="1" operator="beginsWith" text="Not Functioning">
      <formula>LEFT(C418,LEN("Not Functioning"))="Not Functioning"</formula>
    </cfRule>
    <cfRule type="containsText" dxfId="456" priority="414" operator="containsText" text="Functioning">
      <formula>NOT(ISERROR(SEARCH("Functioning",C418)))</formula>
    </cfRule>
  </conditionalFormatting>
  <conditionalFormatting sqref="C414:C415">
    <cfRule type="beginsWith" dxfId="455" priority="409" stopIfTrue="1" operator="beginsWith" text="Functioning At Risk">
      <formula>LEFT(C414,LEN("Functioning At Risk"))="Functioning At Risk"</formula>
    </cfRule>
    <cfRule type="beginsWith" dxfId="454" priority="410" stopIfTrue="1" operator="beginsWith" text="Not Functioning">
      <formula>LEFT(C414,LEN("Not Functioning"))="Not Functioning"</formula>
    </cfRule>
    <cfRule type="containsText" dxfId="453" priority="411" operator="containsText" text="Functioning">
      <formula>NOT(ISERROR(SEARCH("Functioning",C414)))</formula>
    </cfRule>
  </conditionalFormatting>
  <conditionalFormatting sqref="C421">
    <cfRule type="beginsWith" dxfId="452" priority="406" stopIfTrue="1" operator="beginsWith" text="Functioning At Risk">
      <formula>LEFT(C421,LEN("Functioning At Risk"))="Functioning At Risk"</formula>
    </cfRule>
    <cfRule type="beginsWith" dxfId="451" priority="407" stopIfTrue="1" operator="beginsWith" text="Not Functioning">
      <formula>LEFT(C421,LEN("Not Functioning"))="Not Functioning"</formula>
    </cfRule>
    <cfRule type="containsText" dxfId="450" priority="408" operator="containsText" text="Functioning">
      <formula>NOT(ISERROR(SEARCH("Functioning",C421)))</formula>
    </cfRule>
  </conditionalFormatting>
  <conditionalFormatting sqref="C422">
    <cfRule type="beginsWith" dxfId="449" priority="403" stopIfTrue="1" operator="beginsWith" text="Functioning At Risk">
      <formula>LEFT(C422,LEN("Functioning At Risk"))="Functioning At Risk"</formula>
    </cfRule>
    <cfRule type="beginsWith" dxfId="448" priority="404" stopIfTrue="1" operator="beginsWith" text="Not Functioning">
      <formula>LEFT(C422,LEN("Not Functioning"))="Not Functioning"</formula>
    </cfRule>
    <cfRule type="containsText" dxfId="447" priority="405" operator="containsText" text="Functioning">
      <formula>NOT(ISERROR(SEARCH("Functioning",C422)))</formula>
    </cfRule>
  </conditionalFormatting>
  <conditionalFormatting sqref="C433">
    <cfRule type="beginsWith" dxfId="446" priority="397" stopIfTrue="1" operator="beginsWith" text="Functioning At Risk">
      <formula>LEFT(C433,LEN("Functioning At Risk"))="Functioning At Risk"</formula>
    </cfRule>
    <cfRule type="beginsWith" dxfId="445" priority="398" stopIfTrue="1" operator="beginsWith" text="Not Functioning">
      <formula>LEFT(C433,LEN("Not Functioning"))="Not Functioning"</formula>
    </cfRule>
    <cfRule type="containsText" dxfId="444" priority="399" operator="containsText" text="Functioning">
      <formula>NOT(ISERROR(SEARCH("Functioning",C433)))</formula>
    </cfRule>
  </conditionalFormatting>
  <conditionalFormatting sqref="C432">
    <cfRule type="beginsWith" dxfId="443" priority="400" stopIfTrue="1" operator="beginsWith" text="Functioning At Risk">
      <formula>LEFT(C432,LEN("Functioning At Risk"))="Functioning At Risk"</formula>
    </cfRule>
    <cfRule type="beginsWith" dxfId="442" priority="401" stopIfTrue="1" operator="beginsWith" text="Not Functioning">
      <formula>LEFT(C432,LEN("Not Functioning"))="Not Functioning"</formula>
    </cfRule>
    <cfRule type="containsText" dxfId="441" priority="402" operator="containsText" text="Functioning">
      <formula>NOT(ISERROR(SEARCH("Functioning",C432)))</formula>
    </cfRule>
  </conditionalFormatting>
  <conditionalFormatting sqref="C430">
    <cfRule type="beginsWith" dxfId="440" priority="394" stopIfTrue="1" operator="beginsWith" text="Functioning At Risk">
      <formula>LEFT(C430,LEN("Functioning At Risk"))="Functioning At Risk"</formula>
    </cfRule>
    <cfRule type="beginsWith" dxfId="439" priority="395" stopIfTrue="1" operator="beginsWith" text="Not Functioning">
      <formula>LEFT(C430,LEN("Not Functioning"))="Not Functioning"</formula>
    </cfRule>
    <cfRule type="containsText" dxfId="438" priority="396" operator="containsText" text="Functioning">
      <formula>NOT(ISERROR(SEARCH("Functioning",C430)))</formula>
    </cfRule>
  </conditionalFormatting>
  <conditionalFormatting sqref="C376 C388:C389 C370:C372 C379:C380 C391 C383 C363:C368">
    <cfRule type="beginsWith" dxfId="437" priority="391" stopIfTrue="1" operator="beginsWith" text="Functioning At Risk">
      <formula>LEFT(C363,LEN("Functioning At Risk"))="Functioning At Risk"</formula>
    </cfRule>
    <cfRule type="beginsWith" dxfId="436" priority="392" stopIfTrue="1" operator="beginsWith" text="Not Functioning">
      <formula>LEFT(C363,LEN("Not Functioning"))="Not Functioning"</formula>
    </cfRule>
    <cfRule type="containsText" dxfId="435" priority="393" operator="containsText" text="Functioning">
      <formula>NOT(ISERROR(SEARCH("Functioning",C363)))</formula>
    </cfRule>
  </conditionalFormatting>
  <conditionalFormatting sqref="C373">
    <cfRule type="beginsWith" dxfId="434" priority="388" stopIfTrue="1" operator="beginsWith" text="Functioning At Risk">
      <formula>LEFT(C373,LEN("Functioning At Risk"))="Functioning At Risk"</formula>
    </cfRule>
    <cfRule type="beginsWith" dxfId="433" priority="389" stopIfTrue="1" operator="beginsWith" text="Not Functioning">
      <formula>LEFT(C373,LEN("Not Functioning"))="Not Functioning"</formula>
    </cfRule>
    <cfRule type="containsText" dxfId="432" priority="390" operator="containsText" text="Functioning">
      <formula>NOT(ISERROR(SEARCH("Functioning",C373)))</formula>
    </cfRule>
  </conditionalFormatting>
  <conditionalFormatting sqref="C377">
    <cfRule type="beginsWith" dxfId="431" priority="385" stopIfTrue="1" operator="beginsWith" text="Functioning At Risk">
      <formula>LEFT(C377,LEN("Functioning At Risk"))="Functioning At Risk"</formula>
    </cfRule>
    <cfRule type="beginsWith" dxfId="430" priority="386" stopIfTrue="1" operator="beginsWith" text="Not Functioning">
      <formula>LEFT(C377,LEN("Not Functioning"))="Not Functioning"</formula>
    </cfRule>
    <cfRule type="containsText" dxfId="429" priority="387" operator="containsText" text="Functioning">
      <formula>NOT(ISERROR(SEARCH("Functioning",C377)))</formula>
    </cfRule>
  </conditionalFormatting>
  <conditionalFormatting sqref="C378">
    <cfRule type="beginsWith" dxfId="428" priority="382" stopIfTrue="1" operator="beginsWith" text="Functioning At Risk">
      <formula>LEFT(C378,LEN("Functioning At Risk"))="Functioning At Risk"</formula>
    </cfRule>
    <cfRule type="beginsWith" dxfId="427" priority="383" stopIfTrue="1" operator="beginsWith" text="Not Functioning">
      <formula>LEFT(C378,LEN("Not Functioning"))="Not Functioning"</formula>
    </cfRule>
    <cfRule type="containsText" dxfId="426" priority="384" operator="containsText" text="Functioning">
      <formula>NOT(ISERROR(SEARCH("Functioning",C378)))</formula>
    </cfRule>
  </conditionalFormatting>
  <conditionalFormatting sqref="C374:C375">
    <cfRule type="beginsWith" dxfId="425" priority="379" stopIfTrue="1" operator="beginsWith" text="Functioning At Risk">
      <formula>LEFT(C374,LEN("Functioning At Risk"))="Functioning At Risk"</formula>
    </cfRule>
    <cfRule type="beginsWith" dxfId="424" priority="380" stopIfTrue="1" operator="beginsWith" text="Not Functioning">
      <formula>LEFT(C374,LEN("Not Functioning"))="Not Functioning"</formula>
    </cfRule>
    <cfRule type="containsText" dxfId="423" priority="381" operator="containsText" text="Functioning">
      <formula>NOT(ISERROR(SEARCH("Functioning",C374)))</formula>
    </cfRule>
  </conditionalFormatting>
  <conditionalFormatting sqref="C381">
    <cfRule type="beginsWith" dxfId="422" priority="376" stopIfTrue="1" operator="beginsWith" text="Functioning At Risk">
      <formula>LEFT(C381,LEN("Functioning At Risk"))="Functioning At Risk"</formula>
    </cfRule>
    <cfRule type="beginsWith" dxfId="421" priority="377" stopIfTrue="1" operator="beginsWith" text="Not Functioning">
      <formula>LEFT(C381,LEN("Not Functioning"))="Not Functioning"</formula>
    </cfRule>
    <cfRule type="containsText" dxfId="420" priority="378" operator="containsText" text="Functioning">
      <formula>NOT(ISERROR(SEARCH("Functioning",C381)))</formula>
    </cfRule>
  </conditionalFormatting>
  <conditionalFormatting sqref="C382">
    <cfRule type="beginsWith" dxfId="419" priority="373" stopIfTrue="1" operator="beginsWith" text="Functioning At Risk">
      <formula>LEFT(C382,LEN("Functioning At Risk"))="Functioning At Risk"</formula>
    </cfRule>
    <cfRule type="beginsWith" dxfId="418" priority="374" stopIfTrue="1" operator="beginsWith" text="Not Functioning">
      <formula>LEFT(C382,LEN("Not Functioning"))="Not Functioning"</formula>
    </cfRule>
    <cfRule type="containsText" dxfId="417" priority="375" operator="containsText" text="Functioning">
      <formula>NOT(ISERROR(SEARCH("Functioning",C382)))</formula>
    </cfRule>
  </conditionalFormatting>
  <conditionalFormatting sqref="C393">
    <cfRule type="beginsWith" dxfId="416" priority="367" stopIfTrue="1" operator="beginsWith" text="Functioning At Risk">
      <formula>LEFT(C393,LEN("Functioning At Risk"))="Functioning At Risk"</formula>
    </cfRule>
    <cfRule type="beginsWith" dxfId="415" priority="368" stopIfTrue="1" operator="beginsWith" text="Not Functioning">
      <formula>LEFT(C393,LEN("Not Functioning"))="Not Functioning"</formula>
    </cfRule>
    <cfRule type="containsText" dxfId="414" priority="369" operator="containsText" text="Functioning">
      <formula>NOT(ISERROR(SEARCH("Functioning",C393)))</formula>
    </cfRule>
  </conditionalFormatting>
  <conditionalFormatting sqref="C392">
    <cfRule type="beginsWith" dxfId="413" priority="370" stopIfTrue="1" operator="beginsWith" text="Functioning At Risk">
      <formula>LEFT(C392,LEN("Functioning At Risk"))="Functioning At Risk"</formula>
    </cfRule>
    <cfRule type="beginsWith" dxfId="412" priority="371" stopIfTrue="1" operator="beginsWith" text="Not Functioning">
      <formula>LEFT(C392,LEN("Not Functioning"))="Not Functioning"</formula>
    </cfRule>
    <cfRule type="containsText" dxfId="411" priority="372" operator="containsText" text="Functioning">
      <formula>NOT(ISERROR(SEARCH("Functioning",C392)))</formula>
    </cfRule>
  </conditionalFormatting>
  <conditionalFormatting sqref="C390">
    <cfRule type="beginsWith" dxfId="410" priority="364" stopIfTrue="1" operator="beginsWith" text="Functioning At Risk">
      <formula>LEFT(C390,LEN("Functioning At Risk"))="Functioning At Risk"</formula>
    </cfRule>
    <cfRule type="beginsWith" dxfId="409" priority="365" stopIfTrue="1" operator="beginsWith" text="Not Functioning">
      <formula>LEFT(C390,LEN("Not Functioning"))="Not Functioning"</formula>
    </cfRule>
    <cfRule type="containsText" dxfId="408" priority="366" operator="containsText" text="Functioning">
      <formula>NOT(ISERROR(SEARCH("Functioning",C390)))</formula>
    </cfRule>
  </conditionalFormatting>
  <conditionalFormatting sqref="C336 C348:C349 C330:C332 C339:C340 C351 C343 C323:C328">
    <cfRule type="beginsWith" dxfId="407" priority="361" stopIfTrue="1" operator="beginsWith" text="Functioning At Risk">
      <formula>LEFT(C323,LEN("Functioning At Risk"))="Functioning At Risk"</formula>
    </cfRule>
    <cfRule type="beginsWith" dxfId="406" priority="362" stopIfTrue="1" operator="beginsWith" text="Not Functioning">
      <formula>LEFT(C323,LEN("Not Functioning"))="Not Functioning"</formula>
    </cfRule>
    <cfRule type="containsText" dxfId="405" priority="363" operator="containsText" text="Functioning">
      <formula>NOT(ISERROR(SEARCH("Functioning",C323)))</formula>
    </cfRule>
  </conditionalFormatting>
  <conditionalFormatting sqref="C333">
    <cfRule type="beginsWith" dxfId="404" priority="358" stopIfTrue="1" operator="beginsWith" text="Functioning At Risk">
      <formula>LEFT(C333,LEN("Functioning At Risk"))="Functioning At Risk"</formula>
    </cfRule>
    <cfRule type="beginsWith" dxfId="403" priority="359" stopIfTrue="1" operator="beginsWith" text="Not Functioning">
      <formula>LEFT(C333,LEN("Not Functioning"))="Not Functioning"</formula>
    </cfRule>
    <cfRule type="containsText" dxfId="402" priority="360" operator="containsText" text="Functioning">
      <formula>NOT(ISERROR(SEARCH("Functioning",C333)))</formula>
    </cfRule>
  </conditionalFormatting>
  <conditionalFormatting sqref="C337">
    <cfRule type="beginsWith" dxfId="401" priority="355" stopIfTrue="1" operator="beginsWith" text="Functioning At Risk">
      <formula>LEFT(C337,LEN("Functioning At Risk"))="Functioning At Risk"</formula>
    </cfRule>
    <cfRule type="beginsWith" dxfId="400" priority="356" stopIfTrue="1" operator="beginsWith" text="Not Functioning">
      <formula>LEFT(C337,LEN("Not Functioning"))="Not Functioning"</formula>
    </cfRule>
    <cfRule type="containsText" dxfId="399" priority="357" operator="containsText" text="Functioning">
      <formula>NOT(ISERROR(SEARCH("Functioning",C337)))</formula>
    </cfRule>
  </conditionalFormatting>
  <conditionalFormatting sqref="C338">
    <cfRule type="beginsWith" dxfId="398" priority="352" stopIfTrue="1" operator="beginsWith" text="Functioning At Risk">
      <formula>LEFT(C338,LEN("Functioning At Risk"))="Functioning At Risk"</formula>
    </cfRule>
    <cfRule type="beginsWith" dxfId="397" priority="353" stopIfTrue="1" operator="beginsWith" text="Not Functioning">
      <formula>LEFT(C338,LEN("Not Functioning"))="Not Functioning"</formula>
    </cfRule>
    <cfRule type="containsText" dxfId="396" priority="354" operator="containsText" text="Functioning">
      <formula>NOT(ISERROR(SEARCH("Functioning",C338)))</formula>
    </cfRule>
  </conditionalFormatting>
  <conditionalFormatting sqref="C334:C335">
    <cfRule type="beginsWith" dxfId="395" priority="349" stopIfTrue="1" operator="beginsWith" text="Functioning At Risk">
      <formula>LEFT(C334,LEN("Functioning At Risk"))="Functioning At Risk"</formula>
    </cfRule>
    <cfRule type="beginsWith" dxfId="394" priority="350" stopIfTrue="1" operator="beginsWith" text="Not Functioning">
      <formula>LEFT(C334,LEN("Not Functioning"))="Not Functioning"</formula>
    </cfRule>
    <cfRule type="containsText" dxfId="393" priority="351" operator="containsText" text="Functioning">
      <formula>NOT(ISERROR(SEARCH("Functioning",C334)))</formula>
    </cfRule>
  </conditionalFormatting>
  <conditionalFormatting sqref="C341">
    <cfRule type="beginsWith" dxfId="392" priority="346" stopIfTrue="1" operator="beginsWith" text="Functioning At Risk">
      <formula>LEFT(C341,LEN("Functioning At Risk"))="Functioning At Risk"</formula>
    </cfRule>
    <cfRule type="beginsWith" dxfId="391" priority="347" stopIfTrue="1" operator="beginsWith" text="Not Functioning">
      <formula>LEFT(C341,LEN("Not Functioning"))="Not Functioning"</formula>
    </cfRule>
    <cfRule type="containsText" dxfId="390" priority="348" operator="containsText" text="Functioning">
      <formula>NOT(ISERROR(SEARCH("Functioning",C341)))</formula>
    </cfRule>
  </conditionalFormatting>
  <conditionalFormatting sqref="C342">
    <cfRule type="beginsWith" dxfId="389" priority="343" stopIfTrue="1" operator="beginsWith" text="Functioning At Risk">
      <formula>LEFT(C342,LEN("Functioning At Risk"))="Functioning At Risk"</formula>
    </cfRule>
    <cfRule type="beginsWith" dxfId="388" priority="344" stopIfTrue="1" operator="beginsWith" text="Not Functioning">
      <formula>LEFT(C342,LEN("Not Functioning"))="Not Functioning"</formula>
    </cfRule>
    <cfRule type="containsText" dxfId="387" priority="345" operator="containsText" text="Functioning">
      <formula>NOT(ISERROR(SEARCH("Functioning",C342)))</formula>
    </cfRule>
  </conditionalFormatting>
  <conditionalFormatting sqref="C353">
    <cfRule type="beginsWith" dxfId="386" priority="337" stopIfTrue="1" operator="beginsWith" text="Functioning At Risk">
      <formula>LEFT(C353,LEN("Functioning At Risk"))="Functioning At Risk"</formula>
    </cfRule>
    <cfRule type="beginsWith" dxfId="385" priority="338" stopIfTrue="1" operator="beginsWith" text="Not Functioning">
      <formula>LEFT(C353,LEN("Not Functioning"))="Not Functioning"</formula>
    </cfRule>
    <cfRule type="containsText" dxfId="384" priority="339" operator="containsText" text="Functioning">
      <formula>NOT(ISERROR(SEARCH("Functioning",C353)))</formula>
    </cfRule>
  </conditionalFormatting>
  <conditionalFormatting sqref="C352">
    <cfRule type="beginsWith" dxfId="383" priority="340" stopIfTrue="1" operator="beginsWith" text="Functioning At Risk">
      <formula>LEFT(C352,LEN("Functioning At Risk"))="Functioning At Risk"</formula>
    </cfRule>
    <cfRule type="beginsWith" dxfId="382" priority="341" stopIfTrue="1" operator="beginsWith" text="Not Functioning">
      <formula>LEFT(C352,LEN("Not Functioning"))="Not Functioning"</formula>
    </cfRule>
    <cfRule type="containsText" dxfId="381" priority="342" operator="containsText" text="Functioning">
      <formula>NOT(ISERROR(SEARCH("Functioning",C352)))</formula>
    </cfRule>
  </conditionalFormatting>
  <conditionalFormatting sqref="C350">
    <cfRule type="beginsWith" dxfId="380" priority="334" stopIfTrue="1" operator="beginsWith" text="Functioning At Risk">
      <formula>LEFT(C350,LEN("Functioning At Risk"))="Functioning At Risk"</formula>
    </cfRule>
    <cfRule type="beginsWith" dxfId="379" priority="335" stopIfTrue="1" operator="beginsWith" text="Not Functioning">
      <formula>LEFT(C350,LEN("Not Functioning"))="Not Functioning"</formula>
    </cfRule>
    <cfRule type="containsText" dxfId="378" priority="336" operator="containsText" text="Functioning">
      <formula>NOT(ISERROR(SEARCH("Functioning",C350)))</formula>
    </cfRule>
  </conditionalFormatting>
  <conditionalFormatting sqref="C296 C308:C309 C290:C292 C299:C300 C311 C303 C283:C288">
    <cfRule type="beginsWith" dxfId="377" priority="331" stopIfTrue="1" operator="beginsWith" text="Functioning At Risk">
      <formula>LEFT(C283,LEN("Functioning At Risk"))="Functioning At Risk"</formula>
    </cfRule>
    <cfRule type="beginsWith" dxfId="376" priority="332" stopIfTrue="1" operator="beginsWith" text="Not Functioning">
      <formula>LEFT(C283,LEN("Not Functioning"))="Not Functioning"</formula>
    </cfRule>
    <cfRule type="containsText" dxfId="375" priority="333" operator="containsText" text="Functioning">
      <formula>NOT(ISERROR(SEARCH("Functioning",C283)))</formula>
    </cfRule>
  </conditionalFormatting>
  <conditionalFormatting sqref="C293">
    <cfRule type="beginsWith" dxfId="374" priority="328" stopIfTrue="1" operator="beginsWith" text="Functioning At Risk">
      <formula>LEFT(C293,LEN("Functioning At Risk"))="Functioning At Risk"</formula>
    </cfRule>
    <cfRule type="beginsWith" dxfId="373" priority="329" stopIfTrue="1" operator="beginsWith" text="Not Functioning">
      <formula>LEFT(C293,LEN("Not Functioning"))="Not Functioning"</formula>
    </cfRule>
    <cfRule type="containsText" dxfId="372" priority="330" operator="containsText" text="Functioning">
      <formula>NOT(ISERROR(SEARCH("Functioning",C293)))</formula>
    </cfRule>
  </conditionalFormatting>
  <conditionalFormatting sqref="C297">
    <cfRule type="beginsWith" dxfId="371" priority="325" stopIfTrue="1" operator="beginsWith" text="Functioning At Risk">
      <formula>LEFT(C297,LEN("Functioning At Risk"))="Functioning At Risk"</formula>
    </cfRule>
    <cfRule type="beginsWith" dxfId="370" priority="326" stopIfTrue="1" operator="beginsWith" text="Not Functioning">
      <formula>LEFT(C297,LEN("Not Functioning"))="Not Functioning"</formula>
    </cfRule>
    <cfRule type="containsText" dxfId="369" priority="327" operator="containsText" text="Functioning">
      <formula>NOT(ISERROR(SEARCH("Functioning",C297)))</formula>
    </cfRule>
  </conditionalFormatting>
  <conditionalFormatting sqref="C298">
    <cfRule type="beginsWith" dxfId="368" priority="322" stopIfTrue="1" operator="beginsWith" text="Functioning At Risk">
      <formula>LEFT(C298,LEN("Functioning At Risk"))="Functioning At Risk"</formula>
    </cfRule>
    <cfRule type="beginsWith" dxfId="367" priority="323" stopIfTrue="1" operator="beginsWith" text="Not Functioning">
      <formula>LEFT(C298,LEN("Not Functioning"))="Not Functioning"</formula>
    </cfRule>
    <cfRule type="containsText" dxfId="366" priority="324" operator="containsText" text="Functioning">
      <formula>NOT(ISERROR(SEARCH("Functioning",C298)))</formula>
    </cfRule>
  </conditionalFormatting>
  <conditionalFormatting sqref="C294:C295">
    <cfRule type="beginsWith" dxfId="365" priority="319" stopIfTrue="1" operator="beginsWith" text="Functioning At Risk">
      <formula>LEFT(C294,LEN("Functioning At Risk"))="Functioning At Risk"</formula>
    </cfRule>
    <cfRule type="beginsWith" dxfId="364" priority="320" stopIfTrue="1" operator="beginsWith" text="Not Functioning">
      <formula>LEFT(C294,LEN("Not Functioning"))="Not Functioning"</formula>
    </cfRule>
    <cfRule type="containsText" dxfId="363" priority="321" operator="containsText" text="Functioning">
      <formula>NOT(ISERROR(SEARCH("Functioning",C294)))</formula>
    </cfRule>
  </conditionalFormatting>
  <conditionalFormatting sqref="C301">
    <cfRule type="beginsWith" dxfId="362" priority="316" stopIfTrue="1" operator="beginsWith" text="Functioning At Risk">
      <formula>LEFT(C301,LEN("Functioning At Risk"))="Functioning At Risk"</formula>
    </cfRule>
    <cfRule type="beginsWith" dxfId="361" priority="317" stopIfTrue="1" operator="beginsWith" text="Not Functioning">
      <formula>LEFT(C301,LEN("Not Functioning"))="Not Functioning"</formula>
    </cfRule>
    <cfRule type="containsText" dxfId="360" priority="318" operator="containsText" text="Functioning">
      <formula>NOT(ISERROR(SEARCH("Functioning",C301)))</formula>
    </cfRule>
  </conditionalFormatting>
  <conditionalFormatting sqref="C302">
    <cfRule type="beginsWith" dxfId="359" priority="313" stopIfTrue="1" operator="beginsWith" text="Functioning At Risk">
      <formula>LEFT(C302,LEN("Functioning At Risk"))="Functioning At Risk"</formula>
    </cfRule>
    <cfRule type="beginsWith" dxfId="358" priority="314" stopIfTrue="1" operator="beginsWith" text="Not Functioning">
      <formula>LEFT(C302,LEN("Not Functioning"))="Not Functioning"</formula>
    </cfRule>
    <cfRule type="containsText" dxfId="357" priority="315" operator="containsText" text="Functioning">
      <formula>NOT(ISERROR(SEARCH("Functioning",C302)))</formula>
    </cfRule>
  </conditionalFormatting>
  <conditionalFormatting sqref="C313">
    <cfRule type="beginsWith" dxfId="356" priority="307" stopIfTrue="1" operator="beginsWith" text="Functioning At Risk">
      <formula>LEFT(C313,LEN("Functioning At Risk"))="Functioning At Risk"</formula>
    </cfRule>
    <cfRule type="beginsWith" dxfId="355" priority="308" stopIfTrue="1" operator="beginsWith" text="Not Functioning">
      <formula>LEFT(C313,LEN("Not Functioning"))="Not Functioning"</formula>
    </cfRule>
    <cfRule type="containsText" dxfId="354" priority="309" operator="containsText" text="Functioning">
      <formula>NOT(ISERROR(SEARCH("Functioning",C313)))</formula>
    </cfRule>
  </conditionalFormatting>
  <conditionalFormatting sqref="C312">
    <cfRule type="beginsWith" dxfId="353" priority="310" stopIfTrue="1" operator="beginsWith" text="Functioning At Risk">
      <formula>LEFT(C312,LEN("Functioning At Risk"))="Functioning At Risk"</formula>
    </cfRule>
    <cfRule type="beginsWith" dxfId="352" priority="311" stopIfTrue="1" operator="beginsWith" text="Not Functioning">
      <formula>LEFT(C312,LEN("Not Functioning"))="Not Functioning"</formula>
    </cfRule>
    <cfRule type="containsText" dxfId="351" priority="312" operator="containsText" text="Functioning">
      <formula>NOT(ISERROR(SEARCH("Functioning",C312)))</formula>
    </cfRule>
  </conditionalFormatting>
  <conditionalFormatting sqref="C310">
    <cfRule type="beginsWith" dxfId="350" priority="304" stopIfTrue="1" operator="beginsWith" text="Functioning At Risk">
      <formula>LEFT(C310,LEN("Functioning At Risk"))="Functioning At Risk"</formula>
    </cfRule>
    <cfRule type="beginsWith" dxfId="349" priority="305" stopIfTrue="1" operator="beginsWith" text="Not Functioning">
      <formula>LEFT(C310,LEN("Not Functioning"))="Not Functioning"</formula>
    </cfRule>
    <cfRule type="containsText" dxfId="348" priority="306" operator="containsText" text="Functioning">
      <formula>NOT(ISERROR(SEARCH("Functioning",C310)))</formula>
    </cfRule>
  </conditionalFormatting>
  <conditionalFormatting sqref="C256 C268:C269 C250:C252 C259:C260 C271 C263 C243:C248">
    <cfRule type="beginsWith" dxfId="347" priority="301" stopIfTrue="1" operator="beginsWith" text="Functioning At Risk">
      <formula>LEFT(C243,LEN("Functioning At Risk"))="Functioning At Risk"</formula>
    </cfRule>
    <cfRule type="beginsWith" dxfId="346" priority="302" stopIfTrue="1" operator="beginsWith" text="Not Functioning">
      <formula>LEFT(C243,LEN("Not Functioning"))="Not Functioning"</formula>
    </cfRule>
    <cfRule type="containsText" dxfId="345" priority="303" operator="containsText" text="Functioning">
      <formula>NOT(ISERROR(SEARCH("Functioning",C243)))</formula>
    </cfRule>
  </conditionalFormatting>
  <conditionalFormatting sqref="C253">
    <cfRule type="beginsWith" dxfId="344" priority="298" stopIfTrue="1" operator="beginsWith" text="Functioning At Risk">
      <formula>LEFT(C253,LEN("Functioning At Risk"))="Functioning At Risk"</formula>
    </cfRule>
    <cfRule type="beginsWith" dxfId="343" priority="299" stopIfTrue="1" operator="beginsWith" text="Not Functioning">
      <formula>LEFT(C253,LEN("Not Functioning"))="Not Functioning"</formula>
    </cfRule>
    <cfRule type="containsText" dxfId="342" priority="300" operator="containsText" text="Functioning">
      <formula>NOT(ISERROR(SEARCH("Functioning",C253)))</formula>
    </cfRule>
  </conditionalFormatting>
  <conditionalFormatting sqref="C257">
    <cfRule type="beginsWith" dxfId="341" priority="295" stopIfTrue="1" operator="beginsWith" text="Functioning At Risk">
      <formula>LEFT(C257,LEN("Functioning At Risk"))="Functioning At Risk"</formula>
    </cfRule>
    <cfRule type="beginsWith" dxfId="340" priority="296" stopIfTrue="1" operator="beginsWith" text="Not Functioning">
      <formula>LEFT(C257,LEN("Not Functioning"))="Not Functioning"</formula>
    </cfRule>
    <cfRule type="containsText" dxfId="339" priority="297" operator="containsText" text="Functioning">
      <formula>NOT(ISERROR(SEARCH("Functioning",C257)))</formula>
    </cfRule>
  </conditionalFormatting>
  <conditionalFormatting sqref="C258">
    <cfRule type="beginsWith" dxfId="338" priority="292" stopIfTrue="1" operator="beginsWith" text="Functioning At Risk">
      <formula>LEFT(C258,LEN("Functioning At Risk"))="Functioning At Risk"</formula>
    </cfRule>
    <cfRule type="beginsWith" dxfId="337" priority="293" stopIfTrue="1" operator="beginsWith" text="Not Functioning">
      <formula>LEFT(C258,LEN("Not Functioning"))="Not Functioning"</formula>
    </cfRule>
    <cfRule type="containsText" dxfId="336" priority="294" operator="containsText" text="Functioning">
      <formula>NOT(ISERROR(SEARCH("Functioning",C258)))</formula>
    </cfRule>
  </conditionalFormatting>
  <conditionalFormatting sqref="C254:C255">
    <cfRule type="beginsWith" dxfId="335" priority="289" stopIfTrue="1" operator="beginsWith" text="Functioning At Risk">
      <formula>LEFT(C254,LEN("Functioning At Risk"))="Functioning At Risk"</formula>
    </cfRule>
    <cfRule type="beginsWith" dxfId="334" priority="290" stopIfTrue="1" operator="beginsWith" text="Not Functioning">
      <formula>LEFT(C254,LEN("Not Functioning"))="Not Functioning"</formula>
    </cfRule>
    <cfRule type="containsText" dxfId="333" priority="291" operator="containsText" text="Functioning">
      <formula>NOT(ISERROR(SEARCH("Functioning",C254)))</formula>
    </cfRule>
  </conditionalFormatting>
  <conditionalFormatting sqref="C261">
    <cfRule type="beginsWith" dxfId="332" priority="286" stopIfTrue="1" operator="beginsWith" text="Functioning At Risk">
      <formula>LEFT(C261,LEN("Functioning At Risk"))="Functioning At Risk"</formula>
    </cfRule>
    <cfRule type="beginsWith" dxfId="331" priority="287" stopIfTrue="1" operator="beginsWith" text="Not Functioning">
      <formula>LEFT(C261,LEN("Not Functioning"))="Not Functioning"</formula>
    </cfRule>
    <cfRule type="containsText" dxfId="330" priority="288" operator="containsText" text="Functioning">
      <formula>NOT(ISERROR(SEARCH("Functioning",C261)))</formula>
    </cfRule>
  </conditionalFormatting>
  <conditionalFormatting sqref="C262">
    <cfRule type="beginsWith" dxfId="329" priority="283" stopIfTrue="1" operator="beginsWith" text="Functioning At Risk">
      <formula>LEFT(C262,LEN("Functioning At Risk"))="Functioning At Risk"</formula>
    </cfRule>
    <cfRule type="beginsWith" dxfId="328" priority="284" stopIfTrue="1" operator="beginsWith" text="Not Functioning">
      <formula>LEFT(C262,LEN("Not Functioning"))="Not Functioning"</formula>
    </cfRule>
    <cfRule type="containsText" dxfId="327" priority="285" operator="containsText" text="Functioning">
      <formula>NOT(ISERROR(SEARCH("Functioning",C262)))</formula>
    </cfRule>
  </conditionalFormatting>
  <conditionalFormatting sqref="C273">
    <cfRule type="beginsWith" dxfId="326" priority="277" stopIfTrue="1" operator="beginsWith" text="Functioning At Risk">
      <formula>LEFT(C273,LEN("Functioning At Risk"))="Functioning At Risk"</formula>
    </cfRule>
    <cfRule type="beginsWith" dxfId="325" priority="278" stopIfTrue="1" operator="beginsWith" text="Not Functioning">
      <formula>LEFT(C273,LEN("Not Functioning"))="Not Functioning"</formula>
    </cfRule>
    <cfRule type="containsText" dxfId="324" priority="279" operator="containsText" text="Functioning">
      <formula>NOT(ISERROR(SEARCH("Functioning",C273)))</formula>
    </cfRule>
  </conditionalFormatting>
  <conditionalFormatting sqref="C272">
    <cfRule type="beginsWith" dxfId="323" priority="280" stopIfTrue="1" operator="beginsWith" text="Functioning At Risk">
      <formula>LEFT(C272,LEN("Functioning At Risk"))="Functioning At Risk"</formula>
    </cfRule>
    <cfRule type="beginsWith" dxfId="322" priority="281" stopIfTrue="1" operator="beginsWith" text="Not Functioning">
      <formula>LEFT(C272,LEN("Not Functioning"))="Not Functioning"</formula>
    </cfRule>
    <cfRule type="containsText" dxfId="321" priority="282" operator="containsText" text="Functioning">
      <formula>NOT(ISERROR(SEARCH("Functioning",C272)))</formula>
    </cfRule>
  </conditionalFormatting>
  <conditionalFormatting sqref="C270">
    <cfRule type="beginsWith" dxfId="320" priority="274" stopIfTrue="1" operator="beginsWith" text="Functioning At Risk">
      <formula>LEFT(C270,LEN("Functioning At Risk"))="Functioning At Risk"</formula>
    </cfRule>
    <cfRule type="beginsWith" dxfId="319" priority="275" stopIfTrue="1" operator="beginsWith" text="Not Functioning">
      <formula>LEFT(C270,LEN("Not Functioning"))="Not Functioning"</formula>
    </cfRule>
    <cfRule type="containsText" dxfId="318" priority="276" operator="containsText" text="Functioning">
      <formula>NOT(ISERROR(SEARCH("Functioning",C270)))</formula>
    </cfRule>
  </conditionalFormatting>
  <conditionalFormatting sqref="C216 C228:C229 C210:C212 C219:C220 C231 C223 C203:C208">
    <cfRule type="beginsWith" dxfId="317" priority="271" stopIfTrue="1" operator="beginsWith" text="Functioning At Risk">
      <formula>LEFT(C203,LEN("Functioning At Risk"))="Functioning At Risk"</formula>
    </cfRule>
    <cfRule type="beginsWith" dxfId="316" priority="272" stopIfTrue="1" operator="beginsWith" text="Not Functioning">
      <formula>LEFT(C203,LEN("Not Functioning"))="Not Functioning"</formula>
    </cfRule>
    <cfRule type="containsText" dxfId="315" priority="273" operator="containsText" text="Functioning">
      <formula>NOT(ISERROR(SEARCH("Functioning",C203)))</formula>
    </cfRule>
  </conditionalFormatting>
  <conditionalFormatting sqref="C213">
    <cfRule type="beginsWith" dxfId="314" priority="268" stopIfTrue="1" operator="beginsWith" text="Functioning At Risk">
      <formula>LEFT(C213,LEN("Functioning At Risk"))="Functioning At Risk"</formula>
    </cfRule>
    <cfRule type="beginsWith" dxfId="313" priority="269" stopIfTrue="1" operator="beginsWith" text="Not Functioning">
      <formula>LEFT(C213,LEN("Not Functioning"))="Not Functioning"</formula>
    </cfRule>
    <cfRule type="containsText" dxfId="312" priority="270" operator="containsText" text="Functioning">
      <formula>NOT(ISERROR(SEARCH("Functioning",C213)))</formula>
    </cfRule>
  </conditionalFormatting>
  <conditionalFormatting sqref="C217">
    <cfRule type="beginsWith" dxfId="311" priority="265" stopIfTrue="1" operator="beginsWith" text="Functioning At Risk">
      <formula>LEFT(C217,LEN("Functioning At Risk"))="Functioning At Risk"</formula>
    </cfRule>
    <cfRule type="beginsWith" dxfId="310" priority="266" stopIfTrue="1" operator="beginsWith" text="Not Functioning">
      <formula>LEFT(C217,LEN("Not Functioning"))="Not Functioning"</formula>
    </cfRule>
    <cfRule type="containsText" dxfId="309" priority="267" operator="containsText" text="Functioning">
      <formula>NOT(ISERROR(SEARCH("Functioning",C217)))</formula>
    </cfRule>
  </conditionalFormatting>
  <conditionalFormatting sqref="C218">
    <cfRule type="beginsWith" dxfId="308" priority="262" stopIfTrue="1" operator="beginsWith" text="Functioning At Risk">
      <formula>LEFT(C218,LEN("Functioning At Risk"))="Functioning At Risk"</formula>
    </cfRule>
    <cfRule type="beginsWith" dxfId="307" priority="263" stopIfTrue="1" operator="beginsWith" text="Not Functioning">
      <formula>LEFT(C218,LEN("Not Functioning"))="Not Functioning"</formula>
    </cfRule>
    <cfRule type="containsText" dxfId="306" priority="264" operator="containsText" text="Functioning">
      <formula>NOT(ISERROR(SEARCH("Functioning",C218)))</formula>
    </cfRule>
  </conditionalFormatting>
  <conditionalFormatting sqref="C214:C215">
    <cfRule type="beginsWith" dxfId="305" priority="259" stopIfTrue="1" operator="beginsWith" text="Functioning At Risk">
      <formula>LEFT(C214,LEN("Functioning At Risk"))="Functioning At Risk"</formula>
    </cfRule>
    <cfRule type="beginsWith" dxfId="304" priority="260" stopIfTrue="1" operator="beginsWith" text="Not Functioning">
      <formula>LEFT(C214,LEN("Not Functioning"))="Not Functioning"</formula>
    </cfRule>
    <cfRule type="containsText" dxfId="303" priority="261" operator="containsText" text="Functioning">
      <formula>NOT(ISERROR(SEARCH("Functioning",C214)))</formula>
    </cfRule>
  </conditionalFormatting>
  <conditionalFormatting sqref="C221">
    <cfRule type="beginsWith" dxfId="302" priority="256" stopIfTrue="1" operator="beginsWith" text="Functioning At Risk">
      <formula>LEFT(C221,LEN("Functioning At Risk"))="Functioning At Risk"</formula>
    </cfRule>
    <cfRule type="beginsWith" dxfId="301" priority="257" stopIfTrue="1" operator="beginsWith" text="Not Functioning">
      <formula>LEFT(C221,LEN("Not Functioning"))="Not Functioning"</formula>
    </cfRule>
    <cfRule type="containsText" dxfId="300" priority="258" operator="containsText" text="Functioning">
      <formula>NOT(ISERROR(SEARCH("Functioning",C221)))</formula>
    </cfRule>
  </conditionalFormatting>
  <conditionalFormatting sqref="C222">
    <cfRule type="beginsWith" dxfId="299" priority="253" stopIfTrue="1" operator="beginsWith" text="Functioning At Risk">
      <formula>LEFT(C222,LEN("Functioning At Risk"))="Functioning At Risk"</formula>
    </cfRule>
    <cfRule type="beginsWith" dxfId="298" priority="254" stopIfTrue="1" operator="beginsWith" text="Not Functioning">
      <formula>LEFT(C222,LEN("Not Functioning"))="Not Functioning"</formula>
    </cfRule>
    <cfRule type="containsText" dxfId="297" priority="255" operator="containsText" text="Functioning">
      <formula>NOT(ISERROR(SEARCH("Functioning",C222)))</formula>
    </cfRule>
  </conditionalFormatting>
  <conditionalFormatting sqref="C233">
    <cfRule type="beginsWith" dxfId="296" priority="247" stopIfTrue="1" operator="beginsWith" text="Functioning At Risk">
      <formula>LEFT(C233,LEN("Functioning At Risk"))="Functioning At Risk"</formula>
    </cfRule>
    <cfRule type="beginsWith" dxfId="295" priority="248" stopIfTrue="1" operator="beginsWith" text="Not Functioning">
      <formula>LEFT(C233,LEN("Not Functioning"))="Not Functioning"</formula>
    </cfRule>
    <cfRule type="containsText" dxfId="294" priority="249" operator="containsText" text="Functioning">
      <formula>NOT(ISERROR(SEARCH("Functioning",C233)))</formula>
    </cfRule>
  </conditionalFormatting>
  <conditionalFormatting sqref="C232">
    <cfRule type="beginsWith" dxfId="293" priority="250" stopIfTrue="1" operator="beginsWith" text="Functioning At Risk">
      <formula>LEFT(C232,LEN("Functioning At Risk"))="Functioning At Risk"</formula>
    </cfRule>
    <cfRule type="beginsWith" dxfId="292" priority="251" stopIfTrue="1" operator="beginsWith" text="Not Functioning">
      <formula>LEFT(C232,LEN("Not Functioning"))="Not Functioning"</formula>
    </cfRule>
    <cfRule type="containsText" dxfId="291" priority="252" operator="containsText" text="Functioning">
      <formula>NOT(ISERROR(SEARCH("Functioning",C232)))</formula>
    </cfRule>
  </conditionalFormatting>
  <conditionalFormatting sqref="C230">
    <cfRule type="beginsWith" dxfId="290" priority="244" stopIfTrue="1" operator="beginsWith" text="Functioning At Risk">
      <formula>LEFT(C230,LEN("Functioning At Risk"))="Functioning At Risk"</formula>
    </cfRule>
    <cfRule type="beginsWith" dxfId="289" priority="245" stopIfTrue="1" operator="beginsWith" text="Not Functioning">
      <formula>LEFT(C230,LEN("Not Functioning"))="Not Functioning"</formula>
    </cfRule>
    <cfRule type="containsText" dxfId="288" priority="246" operator="containsText" text="Functioning">
      <formula>NOT(ISERROR(SEARCH("Functioning",C230)))</formula>
    </cfRule>
  </conditionalFormatting>
  <conditionalFormatting sqref="C177 C189:C190 C171:C173 C180:C181 C192 C184 C164:C169">
    <cfRule type="beginsWith" dxfId="287" priority="241" stopIfTrue="1" operator="beginsWith" text="Functioning At Risk">
      <formula>LEFT(C164,LEN("Functioning At Risk"))="Functioning At Risk"</formula>
    </cfRule>
    <cfRule type="beginsWith" dxfId="286" priority="242" stopIfTrue="1" operator="beginsWith" text="Not Functioning">
      <formula>LEFT(C164,LEN("Not Functioning"))="Not Functioning"</formula>
    </cfRule>
    <cfRule type="containsText" dxfId="285" priority="243" operator="containsText" text="Functioning">
      <formula>NOT(ISERROR(SEARCH("Functioning",C164)))</formula>
    </cfRule>
  </conditionalFormatting>
  <conditionalFormatting sqref="C174">
    <cfRule type="beginsWith" dxfId="284" priority="238" stopIfTrue="1" operator="beginsWith" text="Functioning At Risk">
      <formula>LEFT(C174,LEN("Functioning At Risk"))="Functioning At Risk"</formula>
    </cfRule>
    <cfRule type="beginsWith" dxfId="283" priority="239" stopIfTrue="1" operator="beginsWith" text="Not Functioning">
      <formula>LEFT(C174,LEN("Not Functioning"))="Not Functioning"</formula>
    </cfRule>
    <cfRule type="containsText" dxfId="282" priority="240" operator="containsText" text="Functioning">
      <formula>NOT(ISERROR(SEARCH("Functioning",C174)))</formula>
    </cfRule>
  </conditionalFormatting>
  <conditionalFormatting sqref="C178">
    <cfRule type="beginsWith" dxfId="281" priority="235" stopIfTrue="1" operator="beginsWith" text="Functioning At Risk">
      <formula>LEFT(C178,LEN("Functioning At Risk"))="Functioning At Risk"</formula>
    </cfRule>
    <cfRule type="beginsWith" dxfId="280" priority="236" stopIfTrue="1" operator="beginsWith" text="Not Functioning">
      <formula>LEFT(C178,LEN("Not Functioning"))="Not Functioning"</formula>
    </cfRule>
    <cfRule type="containsText" dxfId="279" priority="237" operator="containsText" text="Functioning">
      <formula>NOT(ISERROR(SEARCH("Functioning",C178)))</formula>
    </cfRule>
  </conditionalFormatting>
  <conditionalFormatting sqref="C179">
    <cfRule type="beginsWith" dxfId="278" priority="232" stopIfTrue="1" operator="beginsWith" text="Functioning At Risk">
      <formula>LEFT(C179,LEN("Functioning At Risk"))="Functioning At Risk"</formula>
    </cfRule>
    <cfRule type="beginsWith" dxfId="277" priority="233" stopIfTrue="1" operator="beginsWith" text="Not Functioning">
      <formula>LEFT(C179,LEN("Not Functioning"))="Not Functioning"</formula>
    </cfRule>
    <cfRule type="containsText" dxfId="276" priority="234" operator="containsText" text="Functioning">
      <formula>NOT(ISERROR(SEARCH("Functioning",C179)))</formula>
    </cfRule>
  </conditionalFormatting>
  <conditionalFormatting sqref="C175:C176">
    <cfRule type="beginsWith" dxfId="275" priority="229" stopIfTrue="1" operator="beginsWith" text="Functioning At Risk">
      <formula>LEFT(C175,LEN("Functioning At Risk"))="Functioning At Risk"</formula>
    </cfRule>
    <cfRule type="beginsWith" dxfId="274" priority="230" stopIfTrue="1" operator="beginsWith" text="Not Functioning">
      <formula>LEFT(C175,LEN("Not Functioning"))="Not Functioning"</formula>
    </cfRule>
    <cfRule type="containsText" dxfId="273" priority="231" operator="containsText" text="Functioning">
      <formula>NOT(ISERROR(SEARCH("Functioning",C175)))</formula>
    </cfRule>
  </conditionalFormatting>
  <conditionalFormatting sqref="C182">
    <cfRule type="beginsWith" dxfId="272" priority="226" stopIfTrue="1" operator="beginsWith" text="Functioning At Risk">
      <formula>LEFT(C182,LEN("Functioning At Risk"))="Functioning At Risk"</formula>
    </cfRule>
    <cfRule type="beginsWith" dxfId="271" priority="227" stopIfTrue="1" operator="beginsWith" text="Not Functioning">
      <formula>LEFT(C182,LEN("Not Functioning"))="Not Functioning"</formula>
    </cfRule>
    <cfRule type="containsText" dxfId="270" priority="228" operator="containsText" text="Functioning">
      <formula>NOT(ISERROR(SEARCH("Functioning",C182)))</formula>
    </cfRule>
  </conditionalFormatting>
  <conditionalFormatting sqref="C183">
    <cfRule type="beginsWith" dxfId="269" priority="223" stopIfTrue="1" operator="beginsWith" text="Functioning At Risk">
      <formula>LEFT(C183,LEN("Functioning At Risk"))="Functioning At Risk"</formula>
    </cfRule>
    <cfRule type="beginsWith" dxfId="268" priority="224" stopIfTrue="1" operator="beginsWith" text="Not Functioning">
      <formula>LEFT(C183,LEN("Not Functioning"))="Not Functioning"</formula>
    </cfRule>
    <cfRule type="containsText" dxfId="267" priority="225" operator="containsText" text="Functioning">
      <formula>NOT(ISERROR(SEARCH("Functioning",C183)))</formula>
    </cfRule>
  </conditionalFormatting>
  <conditionalFormatting sqref="C194">
    <cfRule type="beginsWith" dxfId="266" priority="217" stopIfTrue="1" operator="beginsWith" text="Functioning At Risk">
      <formula>LEFT(C194,LEN("Functioning At Risk"))="Functioning At Risk"</formula>
    </cfRule>
    <cfRule type="beginsWith" dxfId="265" priority="218" stopIfTrue="1" operator="beginsWith" text="Not Functioning">
      <formula>LEFT(C194,LEN("Not Functioning"))="Not Functioning"</formula>
    </cfRule>
    <cfRule type="containsText" dxfId="264" priority="219" operator="containsText" text="Functioning">
      <formula>NOT(ISERROR(SEARCH("Functioning",C194)))</formula>
    </cfRule>
  </conditionalFormatting>
  <conditionalFormatting sqref="C193">
    <cfRule type="beginsWith" dxfId="263" priority="220" stopIfTrue="1" operator="beginsWith" text="Functioning At Risk">
      <formula>LEFT(C193,LEN("Functioning At Risk"))="Functioning At Risk"</formula>
    </cfRule>
    <cfRule type="beginsWith" dxfId="262" priority="221" stopIfTrue="1" operator="beginsWith" text="Not Functioning">
      <formula>LEFT(C193,LEN("Not Functioning"))="Not Functioning"</formula>
    </cfRule>
    <cfRule type="containsText" dxfId="261" priority="222" operator="containsText" text="Functioning">
      <formula>NOT(ISERROR(SEARCH("Functioning",C193)))</formula>
    </cfRule>
  </conditionalFormatting>
  <conditionalFormatting sqref="C191">
    <cfRule type="beginsWith" dxfId="260" priority="214" stopIfTrue="1" operator="beginsWith" text="Functioning At Risk">
      <formula>LEFT(C191,LEN("Functioning At Risk"))="Functioning At Risk"</formula>
    </cfRule>
    <cfRule type="beginsWith" dxfId="259" priority="215" stopIfTrue="1" operator="beginsWith" text="Not Functioning">
      <formula>LEFT(C191,LEN("Not Functioning"))="Not Functioning"</formula>
    </cfRule>
    <cfRule type="containsText" dxfId="258" priority="216" operator="containsText" text="Functioning">
      <formula>NOT(ISERROR(SEARCH("Functioning",C191)))</formula>
    </cfRule>
  </conditionalFormatting>
  <conditionalFormatting sqref="C138 C150:C151 C132:C134 C141:C142 C153 C145 C125:C130">
    <cfRule type="beginsWith" dxfId="257" priority="211" stopIfTrue="1" operator="beginsWith" text="Functioning At Risk">
      <formula>LEFT(C125,LEN("Functioning At Risk"))="Functioning At Risk"</formula>
    </cfRule>
    <cfRule type="beginsWith" dxfId="256" priority="212" stopIfTrue="1" operator="beginsWith" text="Not Functioning">
      <formula>LEFT(C125,LEN("Not Functioning"))="Not Functioning"</formula>
    </cfRule>
    <cfRule type="containsText" dxfId="255" priority="213" operator="containsText" text="Functioning">
      <formula>NOT(ISERROR(SEARCH("Functioning",C125)))</formula>
    </cfRule>
  </conditionalFormatting>
  <conditionalFormatting sqref="C135">
    <cfRule type="beginsWith" dxfId="254" priority="208" stopIfTrue="1" operator="beginsWith" text="Functioning At Risk">
      <formula>LEFT(C135,LEN("Functioning At Risk"))="Functioning At Risk"</formula>
    </cfRule>
    <cfRule type="beginsWith" dxfId="253" priority="209" stopIfTrue="1" operator="beginsWith" text="Not Functioning">
      <formula>LEFT(C135,LEN("Not Functioning"))="Not Functioning"</formula>
    </cfRule>
    <cfRule type="containsText" dxfId="252" priority="210" operator="containsText" text="Functioning">
      <formula>NOT(ISERROR(SEARCH("Functioning",C135)))</formula>
    </cfRule>
  </conditionalFormatting>
  <conditionalFormatting sqref="C139">
    <cfRule type="beginsWith" dxfId="251" priority="205" stopIfTrue="1" operator="beginsWith" text="Functioning At Risk">
      <formula>LEFT(C139,LEN("Functioning At Risk"))="Functioning At Risk"</formula>
    </cfRule>
    <cfRule type="beginsWith" dxfId="250" priority="206" stopIfTrue="1" operator="beginsWith" text="Not Functioning">
      <formula>LEFT(C139,LEN("Not Functioning"))="Not Functioning"</formula>
    </cfRule>
    <cfRule type="containsText" dxfId="249" priority="207" operator="containsText" text="Functioning">
      <formula>NOT(ISERROR(SEARCH("Functioning",C139)))</formula>
    </cfRule>
  </conditionalFormatting>
  <conditionalFormatting sqref="C140">
    <cfRule type="beginsWith" dxfId="248" priority="202" stopIfTrue="1" operator="beginsWith" text="Functioning At Risk">
      <formula>LEFT(C140,LEN("Functioning At Risk"))="Functioning At Risk"</formula>
    </cfRule>
    <cfRule type="beginsWith" dxfId="247" priority="203" stopIfTrue="1" operator="beginsWith" text="Not Functioning">
      <formula>LEFT(C140,LEN("Not Functioning"))="Not Functioning"</formula>
    </cfRule>
    <cfRule type="containsText" dxfId="246" priority="204" operator="containsText" text="Functioning">
      <formula>NOT(ISERROR(SEARCH("Functioning",C140)))</formula>
    </cfRule>
  </conditionalFormatting>
  <conditionalFormatting sqref="C136:C137">
    <cfRule type="beginsWith" dxfId="245" priority="199" stopIfTrue="1" operator="beginsWith" text="Functioning At Risk">
      <formula>LEFT(C136,LEN("Functioning At Risk"))="Functioning At Risk"</formula>
    </cfRule>
    <cfRule type="beginsWith" dxfId="244" priority="200" stopIfTrue="1" operator="beginsWith" text="Not Functioning">
      <formula>LEFT(C136,LEN("Not Functioning"))="Not Functioning"</formula>
    </cfRule>
    <cfRule type="containsText" dxfId="243" priority="201" operator="containsText" text="Functioning">
      <formula>NOT(ISERROR(SEARCH("Functioning",C136)))</formula>
    </cfRule>
  </conditionalFormatting>
  <conditionalFormatting sqref="C143">
    <cfRule type="beginsWith" dxfId="242" priority="196" stopIfTrue="1" operator="beginsWith" text="Functioning At Risk">
      <formula>LEFT(C143,LEN("Functioning At Risk"))="Functioning At Risk"</formula>
    </cfRule>
    <cfRule type="beginsWith" dxfId="241" priority="197" stopIfTrue="1" operator="beginsWith" text="Not Functioning">
      <formula>LEFT(C143,LEN("Not Functioning"))="Not Functioning"</formula>
    </cfRule>
    <cfRule type="containsText" dxfId="240" priority="198" operator="containsText" text="Functioning">
      <formula>NOT(ISERROR(SEARCH("Functioning",C143)))</formula>
    </cfRule>
  </conditionalFormatting>
  <conditionalFormatting sqref="C144">
    <cfRule type="beginsWith" dxfId="239" priority="193" stopIfTrue="1" operator="beginsWith" text="Functioning At Risk">
      <formula>LEFT(C144,LEN("Functioning At Risk"))="Functioning At Risk"</formula>
    </cfRule>
    <cfRule type="beginsWith" dxfId="238" priority="194" stopIfTrue="1" operator="beginsWith" text="Not Functioning">
      <formula>LEFT(C144,LEN("Not Functioning"))="Not Functioning"</formula>
    </cfRule>
    <cfRule type="containsText" dxfId="237" priority="195" operator="containsText" text="Functioning">
      <formula>NOT(ISERROR(SEARCH("Functioning",C144)))</formula>
    </cfRule>
  </conditionalFormatting>
  <conditionalFormatting sqref="C155">
    <cfRule type="beginsWith" dxfId="236" priority="187" stopIfTrue="1" operator="beginsWith" text="Functioning At Risk">
      <formula>LEFT(C155,LEN("Functioning At Risk"))="Functioning At Risk"</formula>
    </cfRule>
    <cfRule type="beginsWith" dxfId="235" priority="188" stopIfTrue="1" operator="beginsWith" text="Not Functioning">
      <formula>LEFT(C155,LEN("Not Functioning"))="Not Functioning"</formula>
    </cfRule>
    <cfRule type="containsText" dxfId="234" priority="189" operator="containsText" text="Functioning">
      <formula>NOT(ISERROR(SEARCH("Functioning",C155)))</formula>
    </cfRule>
  </conditionalFormatting>
  <conditionalFormatting sqref="C154">
    <cfRule type="beginsWith" dxfId="233" priority="190" stopIfTrue="1" operator="beginsWith" text="Functioning At Risk">
      <formula>LEFT(C154,LEN("Functioning At Risk"))="Functioning At Risk"</formula>
    </cfRule>
    <cfRule type="beginsWith" dxfId="232" priority="191" stopIfTrue="1" operator="beginsWith" text="Not Functioning">
      <formula>LEFT(C154,LEN("Not Functioning"))="Not Functioning"</formula>
    </cfRule>
    <cfRule type="containsText" dxfId="231" priority="192" operator="containsText" text="Functioning">
      <formula>NOT(ISERROR(SEARCH("Functioning",C154)))</formula>
    </cfRule>
  </conditionalFormatting>
  <conditionalFormatting sqref="C152">
    <cfRule type="beginsWith" dxfId="230" priority="184" stopIfTrue="1" operator="beginsWith" text="Functioning At Risk">
      <formula>LEFT(C152,LEN("Functioning At Risk"))="Functioning At Risk"</formula>
    </cfRule>
    <cfRule type="beginsWith" dxfId="229" priority="185" stopIfTrue="1" operator="beginsWith" text="Not Functioning">
      <formula>LEFT(C152,LEN("Not Functioning"))="Not Functioning"</formula>
    </cfRule>
    <cfRule type="containsText" dxfId="228" priority="186" operator="containsText" text="Functioning">
      <formula>NOT(ISERROR(SEARCH("Functioning",C152)))</formula>
    </cfRule>
  </conditionalFormatting>
  <conditionalFormatting sqref="C99 C111:C112 C93:C95 C102:C103 C114 C106 C86:C91">
    <cfRule type="beginsWith" dxfId="227" priority="181" stopIfTrue="1" operator="beginsWith" text="Functioning At Risk">
      <formula>LEFT(C86,LEN("Functioning At Risk"))="Functioning At Risk"</formula>
    </cfRule>
    <cfRule type="beginsWith" dxfId="226" priority="182" stopIfTrue="1" operator="beginsWith" text="Not Functioning">
      <formula>LEFT(C86,LEN("Not Functioning"))="Not Functioning"</formula>
    </cfRule>
    <cfRule type="containsText" dxfId="225" priority="183" operator="containsText" text="Functioning">
      <formula>NOT(ISERROR(SEARCH("Functioning",C86)))</formula>
    </cfRule>
  </conditionalFormatting>
  <conditionalFormatting sqref="C96">
    <cfRule type="beginsWith" dxfId="224" priority="178" stopIfTrue="1" operator="beginsWith" text="Functioning At Risk">
      <formula>LEFT(C96,LEN("Functioning At Risk"))="Functioning At Risk"</formula>
    </cfRule>
    <cfRule type="beginsWith" dxfId="223" priority="179" stopIfTrue="1" operator="beginsWith" text="Not Functioning">
      <formula>LEFT(C96,LEN("Not Functioning"))="Not Functioning"</formula>
    </cfRule>
    <cfRule type="containsText" dxfId="222" priority="180" operator="containsText" text="Functioning">
      <formula>NOT(ISERROR(SEARCH("Functioning",C96)))</formula>
    </cfRule>
  </conditionalFormatting>
  <conditionalFormatting sqref="C100">
    <cfRule type="beginsWith" dxfId="221" priority="175" stopIfTrue="1" operator="beginsWith" text="Functioning At Risk">
      <formula>LEFT(C100,LEN("Functioning At Risk"))="Functioning At Risk"</formula>
    </cfRule>
    <cfRule type="beginsWith" dxfId="220" priority="176" stopIfTrue="1" operator="beginsWith" text="Not Functioning">
      <formula>LEFT(C100,LEN("Not Functioning"))="Not Functioning"</formula>
    </cfRule>
    <cfRule type="containsText" dxfId="219" priority="177" operator="containsText" text="Functioning">
      <formula>NOT(ISERROR(SEARCH("Functioning",C100)))</formula>
    </cfRule>
  </conditionalFormatting>
  <conditionalFormatting sqref="C101">
    <cfRule type="beginsWith" dxfId="218" priority="172" stopIfTrue="1" operator="beginsWith" text="Functioning At Risk">
      <formula>LEFT(C101,LEN("Functioning At Risk"))="Functioning At Risk"</formula>
    </cfRule>
    <cfRule type="beginsWith" dxfId="217" priority="173" stopIfTrue="1" operator="beginsWith" text="Not Functioning">
      <formula>LEFT(C101,LEN("Not Functioning"))="Not Functioning"</formula>
    </cfRule>
    <cfRule type="containsText" dxfId="216" priority="174" operator="containsText" text="Functioning">
      <formula>NOT(ISERROR(SEARCH("Functioning",C101)))</formula>
    </cfRule>
  </conditionalFormatting>
  <conditionalFormatting sqref="C97:C98">
    <cfRule type="beginsWith" dxfId="215" priority="169" stopIfTrue="1" operator="beginsWith" text="Functioning At Risk">
      <formula>LEFT(C97,LEN("Functioning At Risk"))="Functioning At Risk"</formula>
    </cfRule>
    <cfRule type="beginsWith" dxfId="214" priority="170" stopIfTrue="1" operator="beginsWith" text="Not Functioning">
      <formula>LEFT(C97,LEN("Not Functioning"))="Not Functioning"</formula>
    </cfRule>
    <cfRule type="containsText" dxfId="213" priority="171" operator="containsText" text="Functioning">
      <formula>NOT(ISERROR(SEARCH("Functioning",C97)))</formula>
    </cfRule>
  </conditionalFormatting>
  <conditionalFormatting sqref="C104">
    <cfRule type="beginsWith" dxfId="212" priority="166" stopIfTrue="1" operator="beginsWith" text="Functioning At Risk">
      <formula>LEFT(C104,LEN("Functioning At Risk"))="Functioning At Risk"</formula>
    </cfRule>
    <cfRule type="beginsWith" dxfId="211" priority="167" stopIfTrue="1" operator="beginsWith" text="Not Functioning">
      <formula>LEFT(C104,LEN("Not Functioning"))="Not Functioning"</formula>
    </cfRule>
    <cfRule type="containsText" dxfId="210" priority="168" operator="containsText" text="Functioning">
      <formula>NOT(ISERROR(SEARCH("Functioning",C104)))</formula>
    </cfRule>
  </conditionalFormatting>
  <conditionalFormatting sqref="C105">
    <cfRule type="beginsWith" dxfId="209" priority="163" stopIfTrue="1" operator="beginsWith" text="Functioning At Risk">
      <formula>LEFT(C105,LEN("Functioning At Risk"))="Functioning At Risk"</formula>
    </cfRule>
    <cfRule type="beginsWith" dxfId="208" priority="164" stopIfTrue="1" operator="beginsWith" text="Not Functioning">
      <formula>LEFT(C105,LEN("Not Functioning"))="Not Functioning"</formula>
    </cfRule>
    <cfRule type="containsText" dxfId="207" priority="165" operator="containsText" text="Functioning">
      <formula>NOT(ISERROR(SEARCH("Functioning",C105)))</formula>
    </cfRule>
  </conditionalFormatting>
  <conditionalFormatting sqref="C116">
    <cfRule type="beginsWith" dxfId="206" priority="157" stopIfTrue="1" operator="beginsWith" text="Functioning At Risk">
      <formula>LEFT(C116,LEN("Functioning At Risk"))="Functioning At Risk"</formula>
    </cfRule>
    <cfRule type="beginsWith" dxfId="205" priority="158" stopIfTrue="1" operator="beginsWith" text="Not Functioning">
      <formula>LEFT(C116,LEN("Not Functioning"))="Not Functioning"</formula>
    </cfRule>
    <cfRule type="containsText" dxfId="204" priority="159" operator="containsText" text="Functioning">
      <formula>NOT(ISERROR(SEARCH("Functioning",C116)))</formula>
    </cfRule>
  </conditionalFormatting>
  <conditionalFormatting sqref="C115">
    <cfRule type="beginsWith" dxfId="203" priority="160" stopIfTrue="1" operator="beginsWith" text="Functioning At Risk">
      <formula>LEFT(C115,LEN("Functioning At Risk"))="Functioning At Risk"</formula>
    </cfRule>
    <cfRule type="beginsWith" dxfId="202" priority="161" stopIfTrue="1" operator="beginsWith" text="Not Functioning">
      <formula>LEFT(C115,LEN("Not Functioning"))="Not Functioning"</formula>
    </cfRule>
    <cfRule type="containsText" dxfId="201" priority="162" operator="containsText" text="Functioning">
      <formula>NOT(ISERROR(SEARCH("Functioning",C115)))</formula>
    </cfRule>
  </conditionalFormatting>
  <conditionalFormatting sqref="C113">
    <cfRule type="beginsWith" dxfId="200" priority="154" stopIfTrue="1" operator="beginsWith" text="Functioning At Risk">
      <formula>LEFT(C113,LEN("Functioning At Risk"))="Functioning At Risk"</formula>
    </cfRule>
    <cfRule type="beginsWith" dxfId="199" priority="155" stopIfTrue="1" operator="beginsWith" text="Not Functioning">
      <formula>LEFT(C113,LEN("Not Functioning"))="Not Functioning"</formula>
    </cfRule>
    <cfRule type="containsText" dxfId="198" priority="156" operator="containsText" text="Functioning">
      <formula>NOT(ISERROR(SEARCH("Functioning",C113)))</formula>
    </cfRule>
  </conditionalFormatting>
  <conditionalFormatting sqref="C60 C72:C73 C54:C56 C63:C64 C75 C67 C47:C52">
    <cfRule type="beginsWith" dxfId="197" priority="151" stopIfTrue="1" operator="beginsWith" text="Functioning At Risk">
      <formula>LEFT(C47,LEN("Functioning At Risk"))="Functioning At Risk"</formula>
    </cfRule>
    <cfRule type="beginsWith" dxfId="196" priority="152" stopIfTrue="1" operator="beginsWith" text="Not Functioning">
      <formula>LEFT(C47,LEN("Not Functioning"))="Not Functioning"</formula>
    </cfRule>
    <cfRule type="containsText" dxfId="195" priority="153" operator="containsText" text="Functioning">
      <formula>NOT(ISERROR(SEARCH("Functioning",C47)))</formula>
    </cfRule>
  </conditionalFormatting>
  <conditionalFormatting sqref="C57">
    <cfRule type="beginsWith" dxfId="194" priority="148" stopIfTrue="1" operator="beginsWith" text="Functioning At Risk">
      <formula>LEFT(C57,LEN("Functioning At Risk"))="Functioning At Risk"</formula>
    </cfRule>
    <cfRule type="beginsWith" dxfId="193" priority="149" stopIfTrue="1" operator="beginsWith" text="Not Functioning">
      <formula>LEFT(C57,LEN("Not Functioning"))="Not Functioning"</formula>
    </cfRule>
    <cfRule type="containsText" dxfId="192" priority="150" operator="containsText" text="Functioning">
      <formula>NOT(ISERROR(SEARCH("Functioning",C57)))</formula>
    </cfRule>
  </conditionalFormatting>
  <conditionalFormatting sqref="C61">
    <cfRule type="beginsWith" dxfId="191" priority="145" stopIfTrue="1" operator="beginsWith" text="Functioning At Risk">
      <formula>LEFT(C61,LEN("Functioning At Risk"))="Functioning At Risk"</formula>
    </cfRule>
    <cfRule type="beginsWith" dxfId="190" priority="146" stopIfTrue="1" operator="beginsWith" text="Not Functioning">
      <formula>LEFT(C61,LEN("Not Functioning"))="Not Functioning"</formula>
    </cfRule>
    <cfRule type="containsText" dxfId="189" priority="147" operator="containsText" text="Functioning">
      <formula>NOT(ISERROR(SEARCH("Functioning",C61)))</formula>
    </cfRule>
  </conditionalFormatting>
  <conditionalFormatting sqref="C62">
    <cfRule type="beginsWith" dxfId="188" priority="142" stopIfTrue="1" operator="beginsWith" text="Functioning At Risk">
      <formula>LEFT(C62,LEN("Functioning At Risk"))="Functioning At Risk"</formula>
    </cfRule>
    <cfRule type="beginsWith" dxfId="187" priority="143" stopIfTrue="1" operator="beginsWith" text="Not Functioning">
      <formula>LEFT(C62,LEN("Not Functioning"))="Not Functioning"</formula>
    </cfRule>
    <cfRule type="containsText" dxfId="186" priority="144" operator="containsText" text="Functioning">
      <formula>NOT(ISERROR(SEARCH("Functioning",C62)))</formula>
    </cfRule>
  </conditionalFormatting>
  <conditionalFormatting sqref="C58:C59">
    <cfRule type="beginsWith" dxfId="185" priority="139" stopIfTrue="1" operator="beginsWith" text="Functioning At Risk">
      <formula>LEFT(C58,LEN("Functioning At Risk"))="Functioning At Risk"</formula>
    </cfRule>
    <cfRule type="beginsWith" dxfId="184" priority="140" stopIfTrue="1" operator="beginsWith" text="Not Functioning">
      <formula>LEFT(C58,LEN("Not Functioning"))="Not Functioning"</formula>
    </cfRule>
    <cfRule type="containsText" dxfId="183" priority="141" operator="containsText" text="Functioning">
      <formula>NOT(ISERROR(SEARCH("Functioning",C58)))</formula>
    </cfRule>
  </conditionalFormatting>
  <conditionalFormatting sqref="C65">
    <cfRule type="beginsWith" dxfId="182" priority="136" stopIfTrue="1" operator="beginsWith" text="Functioning At Risk">
      <formula>LEFT(C65,LEN("Functioning At Risk"))="Functioning At Risk"</formula>
    </cfRule>
    <cfRule type="beginsWith" dxfId="181" priority="137" stopIfTrue="1" operator="beginsWith" text="Not Functioning">
      <formula>LEFT(C65,LEN("Not Functioning"))="Not Functioning"</formula>
    </cfRule>
    <cfRule type="containsText" dxfId="180" priority="138" operator="containsText" text="Functioning">
      <formula>NOT(ISERROR(SEARCH("Functioning",C65)))</formula>
    </cfRule>
  </conditionalFormatting>
  <conditionalFormatting sqref="C66">
    <cfRule type="beginsWith" dxfId="179" priority="133" stopIfTrue="1" operator="beginsWith" text="Functioning At Risk">
      <formula>LEFT(C66,LEN("Functioning At Risk"))="Functioning At Risk"</formula>
    </cfRule>
    <cfRule type="beginsWith" dxfId="178" priority="134" stopIfTrue="1" operator="beginsWith" text="Not Functioning">
      <formula>LEFT(C66,LEN("Not Functioning"))="Not Functioning"</formula>
    </cfRule>
    <cfRule type="containsText" dxfId="177" priority="135" operator="containsText" text="Functioning">
      <formula>NOT(ISERROR(SEARCH("Functioning",C66)))</formula>
    </cfRule>
  </conditionalFormatting>
  <conditionalFormatting sqref="C77">
    <cfRule type="beginsWith" dxfId="176" priority="127" stopIfTrue="1" operator="beginsWith" text="Functioning At Risk">
      <formula>LEFT(C77,LEN("Functioning At Risk"))="Functioning At Risk"</formula>
    </cfRule>
    <cfRule type="beginsWith" dxfId="175" priority="128" stopIfTrue="1" operator="beginsWith" text="Not Functioning">
      <formula>LEFT(C77,LEN("Not Functioning"))="Not Functioning"</formula>
    </cfRule>
    <cfRule type="containsText" dxfId="174" priority="129" operator="containsText" text="Functioning">
      <formula>NOT(ISERROR(SEARCH("Functioning",C77)))</formula>
    </cfRule>
  </conditionalFormatting>
  <conditionalFormatting sqref="C76">
    <cfRule type="beginsWith" dxfId="173" priority="130" stopIfTrue="1" operator="beginsWith" text="Functioning At Risk">
      <formula>LEFT(C76,LEN("Functioning At Risk"))="Functioning At Risk"</formula>
    </cfRule>
    <cfRule type="beginsWith" dxfId="172" priority="131" stopIfTrue="1" operator="beginsWith" text="Not Functioning">
      <formula>LEFT(C76,LEN("Not Functioning"))="Not Functioning"</formula>
    </cfRule>
    <cfRule type="containsText" dxfId="171" priority="132" operator="containsText" text="Functioning">
      <formula>NOT(ISERROR(SEARCH("Functioning",C76)))</formula>
    </cfRule>
  </conditionalFormatting>
  <conditionalFormatting sqref="C74">
    <cfRule type="beginsWith" dxfId="170" priority="124" stopIfTrue="1" operator="beginsWith" text="Functioning At Risk">
      <formula>LEFT(C74,LEN("Functioning At Risk"))="Functioning At Risk"</formula>
    </cfRule>
    <cfRule type="beginsWith" dxfId="169" priority="125" stopIfTrue="1" operator="beginsWith" text="Not Functioning">
      <formula>LEFT(C74,LEN("Not Functioning"))="Not Functioning"</formula>
    </cfRule>
    <cfRule type="containsText" dxfId="168" priority="126" operator="containsText" text="Functioning">
      <formula>NOT(ISERROR(SEARCH("Functioning",C74)))</formula>
    </cfRule>
  </conditionalFormatting>
  <conditionalFormatting sqref="C21 C33:C34 C15:C17 C24:C25 C36 C28 C8:C13">
    <cfRule type="beginsWith" dxfId="167" priority="121" stopIfTrue="1" operator="beginsWith" text="Functioning At Risk">
      <formula>LEFT(C8,LEN("Functioning At Risk"))="Functioning At Risk"</formula>
    </cfRule>
    <cfRule type="beginsWith" dxfId="166" priority="122" stopIfTrue="1" operator="beginsWith" text="Not Functioning">
      <formula>LEFT(C8,LEN("Not Functioning"))="Not Functioning"</formula>
    </cfRule>
    <cfRule type="containsText" dxfId="165" priority="123" operator="containsText" text="Functioning">
      <formula>NOT(ISERROR(SEARCH("Functioning",C8)))</formula>
    </cfRule>
  </conditionalFormatting>
  <conditionalFormatting sqref="C18">
    <cfRule type="beginsWith" dxfId="164" priority="118" stopIfTrue="1" operator="beginsWith" text="Functioning At Risk">
      <formula>LEFT(C18,LEN("Functioning At Risk"))="Functioning At Risk"</formula>
    </cfRule>
    <cfRule type="beginsWith" dxfId="163" priority="119" stopIfTrue="1" operator="beginsWith" text="Not Functioning">
      <formula>LEFT(C18,LEN("Not Functioning"))="Not Functioning"</formula>
    </cfRule>
    <cfRule type="containsText" dxfId="162" priority="120" operator="containsText" text="Functioning">
      <formula>NOT(ISERROR(SEARCH("Functioning",C18)))</formula>
    </cfRule>
  </conditionalFormatting>
  <conditionalFormatting sqref="C22">
    <cfRule type="beginsWith" dxfId="161" priority="115" stopIfTrue="1" operator="beginsWith" text="Functioning At Risk">
      <formula>LEFT(C22,LEN("Functioning At Risk"))="Functioning At Risk"</formula>
    </cfRule>
    <cfRule type="beginsWith" dxfId="160" priority="116" stopIfTrue="1" operator="beginsWith" text="Not Functioning">
      <formula>LEFT(C22,LEN("Not Functioning"))="Not Functioning"</formula>
    </cfRule>
    <cfRule type="containsText" dxfId="159" priority="117" operator="containsText" text="Functioning">
      <formula>NOT(ISERROR(SEARCH("Functioning",C22)))</formula>
    </cfRule>
  </conditionalFormatting>
  <conditionalFormatting sqref="C23">
    <cfRule type="beginsWith" dxfId="158" priority="112" stopIfTrue="1" operator="beginsWith" text="Functioning At Risk">
      <formula>LEFT(C23,LEN("Functioning At Risk"))="Functioning At Risk"</formula>
    </cfRule>
    <cfRule type="beginsWith" dxfId="157" priority="113" stopIfTrue="1" operator="beginsWith" text="Not Functioning">
      <formula>LEFT(C23,LEN("Not Functioning"))="Not Functioning"</formula>
    </cfRule>
    <cfRule type="containsText" dxfId="156" priority="114" operator="containsText" text="Functioning">
      <formula>NOT(ISERROR(SEARCH("Functioning",C23)))</formula>
    </cfRule>
  </conditionalFormatting>
  <conditionalFormatting sqref="C19:C20">
    <cfRule type="beginsWith" dxfId="155" priority="109" stopIfTrue="1" operator="beginsWith" text="Functioning At Risk">
      <formula>LEFT(C19,LEN("Functioning At Risk"))="Functioning At Risk"</formula>
    </cfRule>
    <cfRule type="beginsWith" dxfId="154" priority="110" stopIfTrue="1" operator="beginsWith" text="Not Functioning">
      <formula>LEFT(C19,LEN("Not Functioning"))="Not Functioning"</formula>
    </cfRule>
    <cfRule type="containsText" dxfId="153" priority="111" operator="containsText" text="Functioning">
      <formula>NOT(ISERROR(SEARCH("Functioning",C19)))</formula>
    </cfRule>
  </conditionalFormatting>
  <conditionalFormatting sqref="C26">
    <cfRule type="beginsWith" dxfId="152" priority="106" stopIfTrue="1" operator="beginsWith" text="Functioning At Risk">
      <formula>LEFT(C26,LEN("Functioning At Risk"))="Functioning At Risk"</formula>
    </cfRule>
    <cfRule type="beginsWith" dxfId="151" priority="107" stopIfTrue="1" operator="beginsWith" text="Not Functioning">
      <formula>LEFT(C26,LEN("Not Functioning"))="Not Functioning"</formula>
    </cfRule>
    <cfRule type="containsText" dxfId="150" priority="108" operator="containsText" text="Functioning">
      <formula>NOT(ISERROR(SEARCH("Functioning",C26)))</formula>
    </cfRule>
  </conditionalFormatting>
  <conditionalFormatting sqref="C27">
    <cfRule type="beginsWith" dxfId="149" priority="103" stopIfTrue="1" operator="beginsWith" text="Functioning At Risk">
      <formula>LEFT(C27,LEN("Functioning At Risk"))="Functioning At Risk"</formula>
    </cfRule>
    <cfRule type="beginsWith" dxfId="148" priority="104" stopIfTrue="1" operator="beginsWith" text="Not Functioning">
      <formula>LEFT(C27,LEN("Not Functioning"))="Not Functioning"</formula>
    </cfRule>
    <cfRule type="containsText" dxfId="147" priority="105" operator="containsText" text="Functioning">
      <formula>NOT(ISERROR(SEARCH("Functioning",C27)))</formula>
    </cfRule>
  </conditionalFormatting>
  <conditionalFormatting sqref="C38">
    <cfRule type="beginsWith" dxfId="146" priority="97" stopIfTrue="1" operator="beginsWith" text="Functioning At Risk">
      <formula>LEFT(C38,LEN("Functioning At Risk"))="Functioning At Risk"</formula>
    </cfRule>
    <cfRule type="beginsWith" dxfId="145" priority="98" stopIfTrue="1" operator="beginsWith" text="Not Functioning">
      <formula>LEFT(C38,LEN("Not Functioning"))="Not Functioning"</formula>
    </cfRule>
    <cfRule type="containsText" dxfId="144" priority="99" operator="containsText" text="Functioning">
      <formula>NOT(ISERROR(SEARCH("Functioning",C38)))</formula>
    </cfRule>
  </conditionalFormatting>
  <conditionalFormatting sqref="C37">
    <cfRule type="beginsWith" dxfId="143" priority="100" stopIfTrue="1" operator="beginsWith" text="Functioning At Risk">
      <formula>LEFT(C37,LEN("Functioning At Risk"))="Functioning At Risk"</formula>
    </cfRule>
    <cfRule type="beginsWith" dxfId="142" priority="101" stopIfTrue="1" operator="beginsWith" text="Not Functioning">
      <formula>LEFT(C37,LEN("Not Functioning"))="Not Functioning"</formula>
    </cfRule>
    <cfRule type="containsText" dxfId="141" priority="102" operator="containsText" text="Functioning">
      <formula>NOT(ISERROR(SEARCH("Functioning",C37)))</formula>
    </cfRule>
  </conditionalFormatting>
  <conditionalFormatting sqref="C35">
    <cfRule type="beginsWith" dxfId="140" priority="94" stopIfTrue="1" operator="beginsWith" text="Functioning At Risk">
      <formula>LEFT(C35,LEN("Functioning At Risk"))="Functioning At Risk"</formula>
    </cfRule>
    <cfRule type="beginsWith" dxfId="139" priority="95" stopIfTrue="1" operator="beginsWith" text="Not Functioning">
      <formula>LEFT(C35,LEN("Not Functioning"))="Not Functioning"</formula>
    </cfRule>
    <cfRule type="containsText" dxfId="138" priority="96" operator="containsText" text="Functioning">
      <formula>NOT(ISERROR(SEARCH("Functioning",C35)))</formula>
    </cfRule>
  </conditionalFormatting>
  <conditionalFormatting sqref="B72:B74">
    <cfRule type="beginsWith" dxfId="137" priority="91" stopIfTrue="1" operator="beginsWith" text="Functioning At Risk">
      <formula>LEFT(B72,LEN("Functioning At Risk"))="Functioning At Risk"</formula>
    </cfRule>
    <cfRule type="beginsWith" dxfId="136" priority="92" stopIfTrue="1" operator="beginsWith" text="Not Functioning">
      <formula>LEFT(B72,LEN("Not Functioning"))="Not Functioning"</formula>
    </cfRule>
    <cfRule type="containsText" dxfId="135" priority="93" operator="containsText" text="Functioning">
      <formula>NOT(ISERROR(SEARCH("Functioning",B72)))</formula>
    </cfRule>
  </conditionalFormatting>
  <conditionalFormatting sqref="B111:B113">
    <cfRule type="beginsWith" dxfId="134" priority="88" stopIfTrue="1" operator="beginsWith" text="Functioning At Risk">
      <formula>LEFT(B111,LEN("Functioning At Risk"))="Functioning At Risk"</formula>
    </cfRule>
    <cfRule type="beginsWith" dxfId="133" priority="89" stopIfTrue="1" operator="beginsWith" text="Not Functioning">
      <formula>LEFT(B111,LEN("Not Functioning"))="Not Functioning"</formula>
    </cfRule>
    <cfRule type="containsText" dxfId="132" priority="90" operator="containsText" text="Functioning">
      <formula>NOT(ISERROR(SEARCH("Functioning",B111)))</formula>
    </cfRule>
  </conditionalFormatting>
  <conditionalFormatting sqref="B150:B152">
    <cfRule type="beginsWith" dxfId="131" priority="85" stopIfTrue="1" operator="beginsWith" text="Functioning At Risk">
      <formula>LEFT(B150,LEN("Functioning At Risk"))="Functioning At Risk"</formula>
    </cfRule>
    <cfRule type="beginsWith" dxfId="130" priority="86" stopIfTrue="1" operator="beginsWith" text="Not Functioning">
      <formula>LEFT(B150,LEN("Not Functioning"))="Not Functioning"</formula>
    </cfRule>
    <cfRule type="containsText" dxfId="129" priority="87" operator="containsText" text="Functioning">
      <formula>NOT(ISERROR(SEARCH("Functioning",B150)))</formula>
    </cfRule>
  </conditionalFormatting>
  <conditionalFormatting sqref="B189:B191">
    <cfRule type="beginsWith" dxfId="128" priority="82" stopIfTrue="1" operator="beginsWith" text="Functioning At Risk">
      <formula>LEFT(B189,LEN("Functioning At Risk"))="Functioning At Risk"</formula>
    </cfRule>
    <cfRule type="beginsWith" dxfId="127" priority="83" stopIfTrue="1" operator="beginsWith" text="Not Functioning">
      <formula>LEFT(B189,LEN("Not Functioning"))="Not Functioning"</formula>
    </cfRule>
    <cfRule type="containsText" dxfId="126" priority="84" operator="containsText" text="Functioning">
      <formula>NOT(ISERROR(SEARCH("Functioning",B189)))</formula>
    </cfRule>
  </conditionalFormatting>
  <conditionalFormatting sqref="B228:B230">
    <cfRule type="beginsWith" dxfId="125" priority="79" stopIfTrue="1" operator="beginsWith" text="Functioning At Risk">
      <formula>LEFT(B228,LEN("Functioning At Risk"))="Functioning At Risk"</formula>
    </cfRule>
    <cfRule type="beginsWith" dxfId="124" priority="80" stopIfTrue="1" operator="beginsWith" text="Not Functioning">
      <formula>LEFT(B228,LEN("Not Functioning"))="Not Functioning"</formula>
    </cfRule>
    <cfRule type="containsText" dxfId="123" priority="81" operator="containsText" text="Functioning">
      <formula>NOT(ISERROR(SEARCH("Functioning",B228)))</formula>
    </cfRule>
  </conditionalFormatting>
  <conditionalFormatting sqref="B268:B270">
    <cfRule type="beginsWith" dxfId="122" priority="76" stopIfTrue="1" operator="beginsWith" text="Functioning At Risk">
      <formula>LEFT(B268,LEN("Functioning At Risk"))="Functioning At Risk"</formula>
    </cfRule>
    <cfRule type="beginsWith" dxfId="121" priority="77" stopIfTrue="1" operator="beginsWith" text="Not Functioning">
      <formula>LEFT(B268,LEN("Not Functioning"))="Not Functioning"</formula>
    </cfRule>
    <cfRule type="containsText" dxfId="120" priority="78" operator="containsText" text="Functioning">
      <formula>NOT(ISERROR(SEARCH("Functioning",B268)))</formula>
    </cfRule>
  </conditionalFormatting>
  <conditionalFormatting sqref="B308:B310">
    <cfRule type="beginsWith" dxfId="119" priority="73" stopIfTrue="1" operator="beginsWith" text="Functioning At Risk">
      <formula>LEFT(B308,LEN("Functioning At Risk"))="Functioning At Risk"</formula>
    </cfRule>
    <cfRule type="beginsWith" dxfId="118" priority="74" stopIfTrue="1" operator="beginsWith" text="Not Functioning">
      <formula>LEFT(B308,LEN("Not Functioning"))="Not Functioning"</formula>
    </cfRule>
    <cfRule type="containsText" dxfId="117" priority="75" operator="containsText" text="Functioning">
      <formula>NOT(ISERROR(SEARCH("Functioning",B308)))</formula>
    </cfRule>
  </conditionalFormatting>
  <conditionalFormatting sqref="B348:B350">
    <cfRule type="beginsWith" dxfId="116" priority="70" stopIfTrue="1" operator="beginsWith" text="Functioning At Risk">
      <formula>LEFT(B348,LEN("Functioning At Risk"))="Functioning At Risk"</formula>
    </cfRule>
    <cfRule type="beginsWith" dxfId="115" priority="71" stopIfTrue="1" operator="beginsWith" text="Not Functioning">
      <formula>LEFT(B348,LEN("Not Functioning"))="Not Functioning"</formula>
    </cfRule>
    <cfRule type="containsText" dxfId="114" priority="72" operator="containsText" text="Functioning">
      <formula>NOT(ISERROR(SEARCH("Functioning",B348)))</formula>
    </cfRule>
  </conditionalFormatting>
  <conditionalFormatting sqref="B388:B390">
    <cfRule type="beginsWith" dxfId="113" priority="67" stopIfTrue="1" operator="beginsWith" text="Functioning At Risk">
      <formula>LEFT(B388,LEN("Functioning At Risk"))="Functioning At Risk"</formula>
    </cfRule>
    <cfRule type="beginsWith" dxfId="112" priority="68" stopIfTrue="1" operator="beginsWith" text="Not Functioning">
      <formula>LEFT(B388,LEN("Not Functioning"))="Not Functioning"</formula>
    </cfRule>
    <cfRule type="containsText" dxfId="111" priority="69" operator="containsText" text="Functioning">
      <formula>NOT(ISERROR(SEARCH("Functioning",B388)))</formula>
    </cfRule>
  </conditionalFormatting>
  <conditionalFormatting sqref="B428:B430">
    <cfRule type="beginsWith" dxfId="110" priority="64" stopIfTrue="1" operator="beginsWith" text="Functioning At Risk">
      <formula>LEFT(B428,LEN("Functioning At Risk"))="Functioning At Risk"</formula>
    </cfRule>
    <cfRule type="beginsWith" dxfId="109" priority="65" stopIfTrue="1" operator="beginsWith" text="Not Functioning">
      <formula>LEFT(B428,LEN("Not Functioning"))="Not Functioning"</formula>
    </cfRule>
    <cfRule type="containsText" dxfId="108" priority="66" operator="containsText" text="Functioning">
      <formula>NOT(ISERROR(SEARCH("Functioning",B428)))</formula>
    </cfRule>
  </conditionalFormatting>
  <conditionalFormatting sqref="F48">
    <cfRule type="beginsWith" dxfId="107" priority="61" stopIfTrue="1" operator="beginsWith" text="Functioning At Risk">
      <formula>LEFT(F48,LEN("Functioning At Risk"))="Functioning At Risk"</formula>
    </cfRule>
    <cfRule type="beginsWith" dxfId="106" priority="62" stopIfTrue="1" operator="beginsWith" text="Not Functioning">
      <formula>LEFT(F48,LEN("Not Functioning"))="Not Functioning"</formula>
    </cfRule>
    <cfRule type="containsText" dxfId="105" priority="63" operator="containsText" text="Functioning">
      <formula>NOT(ISERROR(SEARCH("Functioning",F48)))</formula>
    </cfRule>
  </conditionalFormatting>
  <conditionalFormatting sqref="F87">
    <cfRule type="beginsWith" dxfId="104" priority="58" stopIfTrue="1" operator="beginsWith" text="Functioning At Risk">
      <formula>LEFT(F87,LEN("Functioning At Risk"))="Functioning At Risk"</formula>
    </cfRule>
    <cfRule type="beginsWith" dxfId="103" priority="59" stopIfTrue="1" operator="beginsWith" text="Not Functioning">
      <formula>LEFT(F87,LEN("Not Functioning"))="Not Functioning"</formula>
    </cfRule>
    <cfRule type="containsText" dxfId="102" priority="60" operator="containsText" text="Functioning">
      <formula>NOT(ISERROR(SEARCH("Functioning",F87)))</formula>
    </cfRule>
  </conditionalFormatting>
  <conditionalFormatting sqref="F126">
    <cfRule type="beginsWith" dxfId="101" priority="55" stopIfTrue="1" operator="beginsWith" text="Functioning At Risk">
      <formula>LEFT(F126,LEN("Functioning At Risk"))="Functioning At Risk"</formula>
    </cfRule>
    <cfRule type="beginsWith" dxfId="100" priority="56" stopIfTrue="1" operator="beginsWith" text="Not Functioning">
      <formula>LEFT(F126,LEN("Not Functioning"))="Not Functioning"</formula>
    </cfRule>
    <cfRule type="containsText" dxfId="99" priority="57" operator="containsText" text="Functioning">
      <formula>NOT(ISERROR(SEARCH("Functioning",F126)))</formula>
    </cfRule>
  </conditionalFormatting>
  <conditionalFormatting sqref="F165">
    <cfRule type="beginsWith" dxfId="98" priority="52" stopIfTrue="1" operator="beginsWith" text="Functioning At Risk">
      <formula>LEFT(F165,LEN("Functioning At Risk"))="Functioning At Risk"</formula>
    </cfRule>
    <cfRule type="beginsWith" dxfId="97" priority="53" stopIfTrue="1" operator="beginsWith" text="Not Functioning">
      <formula>LEFT(F165,LEN("Not Functioning"))="Not Functioning"</formula>
    </cfRule>
    <cfRule type="containsText" dxfId="96" priority="54" operator="containsText" text="Functioning">
      <formula>NOT(ISERROR(SEARCH("Functioning",F165)))</formula>
    </cfRule>
  </conditionalFormatting>
  <conditionalFormatting sqref="F204">
    <cfRule type="beginsWith" dxfId="95" priority="49" stopIfTrue="1" operator="beginsWith" text="Functioning At Risk">
      <formula>LEFT(F204,LEN("Functioning At Risk"))="Functioning At Risk"</formula>
    </cfRule>
    <cfRule type="beginsWith" dxfId="94" priority="50" stopIfTrue="1" operator="beginsWith" text="Not Functioning">
      <formula>LEFT(F204,LEN("Not Functioning"))="Not Functioning"</formula>
    </cfRule>
    <cfRule type="containsText" dxfId="93" priority="51" operator="containsText" text="Functioning">
      <formula>NOT(ISERROR(SEARCH("Functioning",F204)))</formula>
    </cfRule>
  </conditionalFormatting>
  <conditionalFormatting sqref="F244">
    <cfRule type="beginsWith" dxfId="92" priority="46" stopIfTrue="1" operator="beginsWith" text="Functioning At Risk">
      <formula>LEFT(F244,LEN("Functioning At Risk"))="Functioning At Risk"</formula>
    </cfRule>
    <cfRule type="beginsWith" dxfId="91" priority="47" stopIfTrue="1" operator="beginsWith" text="Not Functioning">
      <formula>LEFT(F244,LEN("Not Functioning"))="Not Functioning"</formula>
    </cfRule>
    <cfRule type="containsText" dxfId="90" priority="48" operator="containsText" text="Functioning">
      <formula>NOT(ISERROR(SEARCH("Functioning",F244)))</formula>
    </cfRule>
  </conditionalFormatting>
  <conditionalFormatting sqref="F284">
    <cfRule type="beginsWith" dxfId="89" priority="43" stopIfTrue="1" operator="beginsWith" text="Functioning At Risk">
      <formula>LEFT(F284,LEN("Functioning At Risk"))="Functioning At Risk"</formula>
    </cfRule>
    <cfRule type="beginsWith" dxfId="88" priority="44" stopIfTrue="1" operator="beginsWith" text="Not Functioning">
      <formula>LEFT(F284,LEN("Not Functioning"))="Not Functioning"</formula>
    </cfRule>
    <cfRule type="containsText" dxfId="87" priority="45" operator="containsText" text="Functioning">
      <formula>NOT(ISERROR(SEARCH("Functioning",F284)))</formula>
    </cfRule>
  </conditionalFormatting>
  <conditionalFormatting sqref="F324">
    <cfRule type="beginsWith" dxfId="86" priority="40" stopIfTrue="1" operator="beginsWith" text="Functioning At Risk">
      <formula>LEFT(F324,LEN("Functioning At Risk"))="Functioning At Risk"</formula>
    </cfRule>
    <cfRule type="beginsWith" dxfId="85" priority="41" stopIfTrue="1" operator="beginsWith" text="Not Functioning">
      <formula>LEFT(F324,LEN("Not Functioning"))="Not Functioning"</formula>
    </cfRule>
    <cfRule type="containsText" dxfId="84" priority="42" operator="containsText" text="Functioning">
      <formula>NOT(ISERROR(SEARCH("Functioning",F324)))</formula>
    </cfRule>
  </conditionalFormatting>
  <conditionalFormatting sqref="F364">
    <cfRule type="beginsWith" dxfId="83" priority="37" stopIfTrue="1" operator="beginsWith" text="Functioning At Risk">
      <formula>LEFT(F364,LEN("Functioning At Risk"))="Functioning At Risk"</formula>
    </cfRule>
    <cfRule type="beginsWith" dxfId="82" priority="38" stopIfTrue="1" operator="beginsWith" text="Not Functioning">
      <formula>LEFT(F364,LEN("Not Functioning"))="Not Functioning"</formula>
    </cfRule>
    <cfRule type="containsText" dxfId="81" priority="39" operator="containsText" text="Functioning">
      <formula>NOT(ISERROR(SEARCH("Functioning",F364)))</formula>
    </cfRule>
  </conditionalFormatting>
  <conditionalFormatting sqref="F404">
    <cfRule type="beginsWith" dxfId="80" priority="34" stopIfTrue="1" operator="beginsWith" text="Functioning At Risk">
      <formula>LEFT(F404,LEN("Functioning At Risk"))="Functioning At Risk"</formula>
    </cfRule>
    <cfRule type="beginsWith" dxfId="79" priority="35" stopIfTrue="1" operator="beginsWith" text="Not Functioning">
      <formula>LEFT(F404,LEN("Not Functioning"))="Not Functioning"</formula>
    </cfRule>
    <cfRule type="containsText" dxfId="78" priority="36" operator="containsText" text="Functioning">
      <formula>NOT(ISERROR(SEARCH("Functioning",F404)))</formula>
    </cfRule>
  </conditionalFormatting>
  <conditionalFormatting sqref="C30">
    <cfRule type="beginsWith" dxfId="77" priority="31" stopIfTrue="1" operator="beginsWith" text="Functioning At Risk">
      <formula>LEFT(C30,LEN("Functioning At Risk"))="Functioning At Risk"</formula>
    </cfRule>
    <cfRule type="beginsWith" dxfId="76" priority="32" stopIfTrue="1" operator="beginsWith" text="Not Functioning">
      <formula>LEFT(C30,LEN("Not Functioning"))="Not Functioning"</formula>
    </cfRule>
    <cfRule type="containsText" dxfId="75" priority="33" operator="containsText" text="Functioning">
      <formula>NOT(ISERROR(SEARCH("Functioning",C30)))</formula>
    </cfRule>
  </conditionalFormatting>
  <conditionalFormatting sqref="C69">
    <cfRule type="beginsWith" dxfId="74" priority="28" stopIfTrue="1" operator="beginsWith" text="Functioning At Risk">
      <formula>LEFT(C69,LEN("Functioning At Risk"))="Functioning At Risk"</formula>
    </cfRule>
    <cfRule type="beginsWith" dxfId="73" priority="29" stopIfTrue="1" operator="beginsWith" text="Not Functioning">
      <formula>LEFT(C69,LEN("Not Functioning"))="Not Functioning"</formula>
    </cfRule>
    <cfRule type="containsText" dxfId="72" priority="30" operator="containsText" text="Functioning">
      <formula>NOT(ISERROR(SEARCH("Functioning",C69)))</formula>
    </cfRule>
  </conditionalFormatting>
  <conditionalFormatting sqref="C108">
    <cfRule type="beginsWith" dxfId="71" priority="25" stopIfTrue="1" operator="beginsWith" text="Functioning At Risk">
      <formula>LEFT(C108,LEN("Functioning At Risk"))="Functioning At Risk"</formula>
    </cfRule>
    <cfRule type="beginsWith" dxfId="70" priority="26" stopIfTrue="1" operator="beginsWith" text="Not Functioning">
      <formula>LEFT(C108,LEN("Not Functioning"))="Not Functioning"</formula>
    </cfRule>
    <cfRule type="containsText" dxfId="69" priority="27" operator="containsText" text="Functioning">
      <formula>NOT(ISERROR(SEARCH("Functioning",C108)))</formula>
    </cfRule>
  </conditionalFormatting>
  <conditionalFormatting sqref="C186 C147">
    <cfRule type="beginsWith" dxfId="68" priority="19" stopIfTrue="1" operator="beginsWith" text="Functioning At Risk">
      <formula>LEFT(C147,LEN("Functioning At Risk"))="Functioning At Risk"</formula>
    </cfRule>
    <cfRule type="beginsWith" dxfId="67" priority="20" stopIfTrue="1" operator="beginsWith" text="Not Functioning">
      <formula>LEFT(C147,LEN("Not Functioning"))="Not Functioning"</formula>
    </cfRule>
    <cfRule type="containsText" dxfId="66" priority="21" operator="containsText" text="Functioning">
      <formula>NOT(ISERROR(SEARCH("Functioning",C147)))</formula>
    </cfRule>
  </conditionalFormatting>
  <conditionalFormatting sqref="C225">
    <cfRule type="beginsWith" dxfId="65" priority="16" stopIfTrue="1" operator="beginsWith" text="Functioning At Risk">
      <formula>LEFT(C225,LEN("Functioning At Risk"))="Functioning At Risk"</formula>
    </cfRule>
    <cfRule type="beginsWith" dxfId="64" priority="17" stopIfTrue="1" operator="beginsWith" text="Not Functioning">
      <formula>LEFT(C225,LEN("Not Functioning"))="Not Functioning"</formula>
    </cfRule>
    <cfRule type="containsText" dxfId="63" priority="18" operator="containsText" text="Functioning">
      <formula>NOT(ISERROR(SEARCH("Functioning",C225)))</formula>
    </cfRule>
  </conditionalFormatting>
  <conditionalFormatting sqref="C265">
    <cfRule type="beginsWith" dxfId="62" priority="13" stopIfTrue="1" operator="beginsWith" text="Functioning At Risk">
      <formula>LEFT(C265,LEN("Functioning At Risk"))="Functioning At Risk"</formula>
    </cfRule>
    <cfRule type="beginsWith" dxfId="61" priority="14" stopIfTrue="1" operator="beginsWith" text="Not Functioning">
      <formula>LEFT(C265,LEN("Not Functioning"))="Not Functioning"</formula>
    </cfRule>
    <cfRule type="containsText" dxfId="60" priority="15" operator="containsText" text="Functioning">
      <formula>NOT(ISERROR(SEARCH("Functioning",C265)))</formula>
    </cfRule>
  </conditionalFormatting>
  <conditionalFormatting sqref="C305">
    <cfRule type="beginsWith" dxfId="59" priority="10" stopIfTrue="1" operator="beginsWith" text="Functioning At Risk">
      <formula>LEFT(C305,LEN("Functioning At Risk"))="Functioning At Risk"</formula>
    </cfRule>
    <cfRule type="beginsWith" dxfId="58" priority="11" stopIfTrue="1" operator="beginsWith" text="Not Functioning">
      <formula>LEFT(C305,LEN("Not Functioning"))="Not Functioning"</formula>
    </cfRule>
    <cfRule type="containsText" dxfId="57" priority="12" operator="containsText" text="Functioning">
      <formula>NOT(ISERROR(SEARCH("Functioning",C305)))</formula>
    </cfRule>
  </conditionalFormatting>
  <conditionalFormatting sqref="C345">
    <cfRule type="beginsWith" dxfId="56" priority="7" stopIfTrue="1" operator="beginsWith" text="Functioning At Risk">
      <formula>LEFT(C345,LEN("Functioning At Risk"))="Functioning At Risk"</formula>
    </cfRule>
    <cfRule type="beginsWith" dxfId="55" priority="8" stopIfTrue="1" operator="beginsWith" text="Not Functioning">
      <formula>LEFT(C345,LEN("Not Functioning"))="Not Functioning"</formula>
    </cfRule>
    <cfRule type="containsText" dxfId="54" priority="9" operator="containsText" text="Functioning">
      <formula>NOT(ISERROR(SEARCH("Functioning",C345)))</formula>
    </cfRule>
  </conditionalFormatting>
  <conditionalFormatting sqref="C385">
    <cfRule type="beginsWith" dxfId="53" priority="4" stopIfTrue="1" operator="beginsWith" text="Functioning At Risk">
      <formula>LEFT(C385,LEN("Functioning At Risk"))="Functioning At Risk"</formula>
    </cfRule>
    <cfRule type="beginsWith" dxfId="52" priority="5" stopIfTrue="1" operator="beginsWith" text="Not Functioning">
      <formula>LEFT(C385,LEN("Not Functioning"))="Not Functioning"</formula>
    </cfRule>
    <cfRule type="containsText" dxfId="51" priority="6" operator="containsText" text="Functioning">
      <formula>NOT(ISERROR(SEARCH("Functioning",C385)))</formula>
    </cfRule>
  </conditionalFormatting>
  <conditionalFormatting sqref="C425">
    <cfRule type="beginsWith" dxfId="50" priority="1" stopIfTrue="1" operator="beginsWith" text="Functioning At Risk">
      <formula>LEFT(C425,LEN("Functioning At Risk"))="Functioning At Risk"</formula>
    </cfRule>
    <cfRule type="beginsWith" dxfId="49" priority="2" stopIfTrue="1" operator="beginsWith" text="Not Functioning">
      <formula>LEFT(C425,LEN("Not Functioning"))="Not Functioning"</formula>
    </cfRule>
    <cfRule type="containsText" dxfId="48" priority="3" operator="containsText" text="Functioning">
      <formula>NOT(ISERROR(SEARCH("Functioning",C425)))</formula>
    </cfRule>
  </conditionalFormatting>
  <dataValidations count="9">
    <dataValidation allowBlank="1" showErrorMessage="1" prompt="Select catchment conditon level from the completed catchment assessment form. " sqref="E358:E361 E3:E6 E42:E45 E81:E84 E120:E123 E159:E162 E198:E201 E238:E241 E278:E281 E318:E321 E398:E401"/>
    <dataValidation type="decimal" allowBlank="1" showInputMessage="1" showErrorMessage="1" prompt="The user should input a value for either basal area or density, not both. " sqref="E374:E375 E19:E20 E58:E59 E97:E98 E136:E137 E175:E176 E214:E215 E254:E255 E294:E295 E334:E335 E414:E415">
      <formula1>0</formula1>
      <formula2>5280</formula2>
    </dataValidation>
    <dataValidation type="decimal" allowBlank="1" showInputMessage="1" showErrorMessage="1" sqref="E370:E373 E15:E18 E54:E57 E93:E96 E132:E135 E171:E174 E210:E213 E250:E253 E290:E293 E330:E333 E410:E413">
      <formula1>0</formula1>
      <formula2>5280</formula2>
    </dataValidation>
    <dataValidation allowBlank="1" showInputMessage="1" showErrorMessage="1" prompt="This measurement method should be used in combination with either Erosion Rate or Dominant BEHI/NBS." sqref="E369 E14 E53 E92 E131 E170 E209 E249 E289 E329 E409"/>
    <dataValidation allowBlank="1" showInputMessage="1" showErrorMessage="1" prompt="The user should input a value for either BEHI/NBS or Erosion Rate, not both. " sqref="E367 E12 E51 E90 E129 E168 E207 E247 E287 E327 E407"/>
    <dataValidation type="list" allowBlank="1" showInputMessage="1" showErrorMessage="1" prompt="Select the dominant BEHI/NBS.  _x000a_If erosion rate was measured select blank. The user should only input a value for either BEHI/NBS or Erosion Rate, not both. " sqref="E368 E13 E52 E91 E130 E169 E208 E248 E288 E328 E408">
      <formula1>BEHI.NBS</formula1>
    </dataValidation>
    <dataValidation allowBlank="1" showErrorMessage="1" sqref="E23 E378 E62 E7 E101 E46 E140 E85 E179 E124 E218 E163 E258 E202 E298 E242 E338 E282 E362 E322 E418 E402"/>
    <dataValidation allowBlank="1" showInputMessage="1" showErrorMessage="1" prompt="The user should input a value for either basal area or density, not both. " sqref="E376:E377 E21:E22 E60:E61 E99:E100 E138:E139 E177:E178 E216:E217 E256:E257 E296:E297 E336:E337 E416:E417"/>
    <dataValidation allowBlank="1" showErrorMessage="1" prompt="The user can only input a value for either leaf litter processing rate or shredders for organic matter, not both. " sqref="E30 E69 E108 E147 E186 E225 E265 E305 E345 E385 E425"/>
  </dataValidations>
  <pageMargins left="0.25" right="0.25" top="0.75" bottom="0.75" header="0.3" footer="0.3"/>
  <pageSetup paperSize="3" scale="92" fitToHeight="0" orientation="landscape" r:id="rId1"/>
  <rowBreaks count="10" manualBreakCount="10">
    <brk id="38" max="16383" man="1"/>
    <brk id="77" max="16383" man="1"/>
    <brk id="116" max="10" man="1"/>
    <brk id="155" max="16383" man="1"/>
    <brk id="194" max="16383" man="1"/>
    <brk id="234" max="16383" man="1"/>
    <brk id="274" max="16383" man="1"/>
    <brk id="314" max="16383" man="1"/>
    <brk id="354" max="16383" man="1"/>
    <brk id="39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35"/>
  <sheetViews>
    <sheetView topLeftCell="A4" zoomScale="70" zoomScaleNormal="70" zoomScaleSheetLayoutView="100" zoomScalePageLayoutView="25" workbookViewId="0">
      <selection activeCell="B17" sqref="B17"/>
    </sheetView>
  </sheetViews>
  <sheetFormatPr defaultRowHeight="15" x14ac:dyDescent="0.25"/>
  <cols>
    <col min="1" max="1" width="19.85546875" bestFit="1" customWidth="1"/>
    <col min="2" max="2" width="28" customWidth="1"/>
    <col min="3" max="3" width="14.85546875" customWidth="1"/>
    <col min="4" max="4" width="14.140625" customWidth="1"/>
    <col min="5" max="5" width="10.42578125" style="14" customWidth="1"/>
    <col min="6" max="15" width="10.85546875" style="14" customWidth="1"/>
  </cols>
  <sheetData>
    <row r="2" spans="1:15" ht="21" x14ac:dyDescent="0.25">
      <c r="A2" s="470" t="s">
        <v>143</v>
      </c>
      <c r="B2" s="471"/>
      <c r="C2" s="471"/>
      <c r="D2" s="471"/>
      <c r="E2" s="471"/>
      <c r="F2" s="471"/>
      <c r="G2" s="471"/>
      <c r="H2" s="471"/>
      <c r="I2" s="471"/>
      <c r="J2" s="471"/>
      <c r="K2" s="471"/>
      <c r="L2" s="471"/>
      <c r="M2" s="471"/>
      <c r="N2" s="471"/>
      <c r="O2" s="472"/>
    </row>
    <row r="3" spans="1:15" ht="18.75" x14ac:dyDescent="0.25">
      <c r="A3" s="612" t="s">
        <v>1</v>
      </c>
      <c r="B3" s="612" t="s">
        <v>2</v>
      </c>
      <c r="C3" s="617" t="s">
        <v>75</v>
      </c>
      <c r="D3" s="617" t="s">
        <v>76</v>
      </c>
      <c r="E3" s="612" t="s">
        <v>170</v>
      </c>
      <c r="F3" s="614" t="s">
        <v>173</v>
      </c>
      <c r="G3" s="615"/>
      <c r="H3" s="615"/>
      <c r="I3" s="615"/>
      <c r="J3" s="615"/>
      <c r="K3" s="615"/>
      <c r="L3" s="615"/>
      <c r="M3" s="615"/>
      <c r="N3" s="615"/>
      <c r="O3" s="616"/>
    </row>
    <row r="4" spans="1:15" s="14" customFormat="1" ht="18.75" x14ac:dyDescent="0.25">
      <c r="A4" s="613"/>
      <c r="B4" s="613"/>
      <c r="C4" s="618"/>
      <c r="D4" s="618"/>
      <c r="E4" s="613"/>
      <c r="F4" s="196" t="e">
        <f>IF('Monitoring Data'!B40="",#N/A,'Monitoring Data'!B40)</f>
        <v>#N/A</v>
      </c>
      <c r="G4" s="196" t="e">
        <f>IF('Monitoring Data'!B79="",#N/A,'Monitoring Data'!B79)</f>
        <v>#N/A</v>
      </c>
      <c r="H4" s="196" t="e">
        <f>IF('Monitoring Data'!B118="",#N/A,'Monitoring Data'!B118)</f>
        <v>#N/A</v>
      </c>
      <c r="I4" s="196" t="e">
        <f>IF('Monitoring Data'!B157="",#N/A,'Monitoring Data'!B157)</f>
        <v>#N/A</v>
      </c>
      <c r="J4" s="196" t="e">
        <f>IF('Monitoring Data'!B196="",#N/A,'Monitoring Data'!B196)</f>
        <v>#N/A</v>
      </c>
      <c r="K4" s="196" t="e">
        <f>IF('Monitoring Data'!B236="",#N/A,'Monitoring Data'!B236)</f>
        <v>#N/A</v>
      </c>
      <c r="L4" s="196" t="e">
        <f>IF('Monitoring Data'!B276="",#N/A,'Monitoring Data'!B276)</f>
        <v>#N/A</v>
      </c>
      <c r="M4" s="196" t="e">
        <f>IF('Monitoring Data'!B316="",#N/A,'Monitoring Data'!B316)</f>
        <v>#N/A</v>
      </c>
      <c r="N4" s="196" t="e">
        <f>IF('Monitoring Data'!B356="",#N/A,'Monitoring Data'!B356)</f>
        <v>#N/A</v>
      </c>
      <c r="O4" s="196" t="e">
        <f>IF('Monitoring Data'!B396="",#N/A,'Monitoring Data'!B396)</f>
        <v>#N/A</v>
      </c>
    </row>
    <row r="5" spans="1:15" ht="15.75" x14ac:dyDescent="0.25">
      <c r="A5" s="453" t="s">
        <v>68</v>
      </c>
      <c r="B5" s="93" t="s">
        <v>99</v>
      </c>
      <c r="C5" s="189" t="str">
        <f>'Quantification Tool'!C23</f>
        <v/>
      </c>
      <c r="D5" s="189" t="str">
        <f>'Quantification Tool'!D23</f>
        <v/>
      </c>
      <c r="E5" s="58" t="str">
        <f>'Monitoring Data'!G3</f>
        <v/>
      </c>
      <c r="F5" s="58" t="str">
        <f>'Monitoring Data'!G42</f>
        <v/>
      </c>
      <c r="G5" s="58" t="str">
        <f>'Monitoring Data'!G81</f>
        <v/>
      </c>
      <c r="H5" s="58" t="str">
        <f>'Monitoring Data'!G120</f>
        <v/>
      </c>
      <c r="I5" s="58" t="str">
        <f>'Monitoring Data'!G159</f>
        <v/>
      </c>
      <c r="J5" s="58" t="str">
        <f>'Monitoring Data'!G198</f>
        <v/>
      </c>
      <c r="K5" s="58" t="str">
        <f>'Monitoring Data'!G238</f>
        <v/>
      </c>
      <c r="L5" s="58" t="str">
        <f>'Monitoring Data'!G278</f>
        <v/>
      </c>
      <c r="M5" s="58" t="str">
        <f>'Monitoring Data'!G318</f>
        <v/>
      </c>
      <c r="N5" s="58" t="str">
        <f>'Monitoring Data'!G358</f>
        <v/>
      </c>
      <c r="O5" s="58" t="str">
        <f>'Monitoring Data'!G398</f>
        <v/>
      </c>
    </row>
    <row r="6" spans="1:15" ht="15.75" x14ac:dyDescent="0.25">
      <c r="A6" s="454"/>
      <c r="B6" s="93" t="s">
        <v>154</v>
      </c>
      <c r="C6" s="189" t="str">
        <f>'Quantification Tool'!C24</f>
        <v/>
      </c>
      <c r="D6" s="189" t="str">
        <f>'Quantification Tool'!D24</f>
        <v/>
      </c>
      <c r="E6" s="58" t="str">
        <f>'Monitoring Data'!G4</f>
        <v/>
      </c>
      <c r="F6" s="58" t="str">
        <f>'Monitoring Data'!G43</f>
        <v/>
      </c>
      <c r="G6" s="58" t="str">
        <f>'Monitoring Data'!G82</f>
        <v/>
      </c>
      <c r="H6" s="58" t="str">
        <f>'Monitoring Data'!G121</f>
        <v/>
      </c>
      <c r="I6" s="58" t="str">
        <f>'Monitoring Data'!G160</f>
        <v/>
      </c>
      <c r="J6" s="58" t="str">
        <f>'Monitoring Data'!G199</f>
        <v/>
      </c>
      <c r="K6" s="58" t="str">
        <f>'Monitoring Data'!G239</f>
        <v/>
      </c>
      <c r="L6" s="58" t="str">
        <f>'Monitoring Data'!G279</f>
        <v/>
      </c>
      <c r="M6" s="58" t="str">
        <f>'Monitoring Data'!G319</f>
        <v/>
      </c>
      <c r="N6" s="58" t="str">
        <f>'Monitoring Data'!G359</f>
        <v/>
      </c>
      <c r="O6" s="58" t="str">
        <f>'Monitoring Data'!G399</f>
        <v/>
      </c>
    </row>
    <row r="7" spans="1:15" ht="15.75" x14ac:dyDescent="0.25">
      <c r="A7" s="94" t="s">
        <v>6</v>
      </c>
      <c r="B7" s="94" t="s">
        <v>7</v>
      </c>
      <c r="C7" s="189" t="str">
        <f>'Quantification Tool'!C25</f>
        <v/>
      </c>
      <c r="D7" s="189" t="str">
        <f>'Quantification Tool'!D25</f>
        <v/>
      </c>
      <c r="E7" s="58" t="str">
        <f>'Monitoring Data'!G8</f>
        <v/>
      </c>
      <c r="F7" s="58" t="str">
        <f>'Monitoring Data'!G47</f>
        <v/>
      </c>
      <c r="G7" s="58" t="str">
        <f>'Monitoring Data'!G86</f>
        <v/>
      </c>
      <c r="H7" s="58" t="str">
        <f>'Monitoring Data'!G125</f>
        <v/>
      </c>
      <c r="I7" s="58" t="str">
        <f>'Monitoring Data'!G164</f>
        <v/>
      </c>
      <c r="J7" s="58" t="str">
        <f>'Monitoring Data'!G203</f>
        <v/>
      </c>
      <c r="K7" s="58" t="str">
        <f>'Monitoring Data'!G243</f>
        <v/>
      </c>
      <c r="L7" s="58" t="str">
        <f>'Monitoring Data'!G283</f>
        <v/>
      </c>
      <c r="M7" s="58" t="str">
        <f>'Monitoring Data'!G323</f>
        <v/>
      </c>
      <c r="N7" s="58" t="str">
        <f>'Monitoring Data'!G363</f>
        <v/>
      </c>
      <c r="O7" s="58" t="str">
        <f>'Monitoring Data'!G403</f>
        <v/>
      </c>
    </row>
    <row r="8" spans="1:15" ht="15.75" x14ac:dyDescent="0.25">
      <c r="A8" s="464" t="s">
        <v>27</v>
      </c>
      <c r="B8" s="95" t="s">
        <v>28</v>
      </c>
      <c r="C8" s="189" t="str">
        <f>'Quantification Tool'!C26</f>
        <v/>
      </c>
      <c r="D8" s="189" t="str">
        <f>'Quantification Tool'!D26</f>
        <v/>
      </c>
      <c r="E8" s="58" t="str">
        <f>'Monitoring Data'!G10</f>
        <v/>
      </c>
      <c r="F8" s="58" t="str">
        <f>'Monitoring Data'!G49</f>
        <v/>
      </c>
      <c r="G8" s="58" t="str">
        <f>'Monitoring Data'!G88</f>
        <v/>
      </c>
      <c r="H8" s="58" t="str">
        <f>'Monitoring Data'!G127</f>
        <v/>
      </c>
      <c r="I8" s="58" t="str">
        <f>'Monitoring Data'!G166</f>
        <v/>
      </c>
      <c r="J8" s="58" t="str">
        <f>'Monitoring Data'!G205</f>
        <v/>
      </c>
      <c r="K8" s="58" t="str">
        <f>'Monitoring Data'!G245</f>
        <v/>
      </c>
      <c r="L8" s="58" t="str">
        <f>'Monitoring Data'!G285</f>
        <v/>
      </c>
      <c r="M8" s="58" t="str">
        <f>'Monitoring Data'!G325</f>
        <v/>
      </c>
      <c r="N8" s="58" t="str">
        <f>'Monitoring Data'!G365</f>
        <v/>
      </c>
      <c r="O8" s="58" t="str">
        <f>'Monitoring Data'!G405</f>
        <v/>
      </c>
    </row>
    <row r="9" spans="1:15" ht="15.75" x14ac:dyDescent="0.25">
      <c r="A9" s="465"/>
      <c r="B9" s="95" t="s">
        <v>51</v>
      </c>
      <c r="C9" s="189" t="str">
        <f>'Quantification Tool'!C27</f>
        <v/>
      </c>
      <c r="D9" s="189" t="str">
        <f>'Quantification Tool'!D27</f>
        <v/>
      </c>
      <c r="E9" s="58" t="str">
        <f>'Monitoring Data'!G12</f>
        <v/>
      </c>
      <c r="F9" s="58" t="str">
        <f>'Monitoring Data'!G51</f>
        <v/>
      </c>
      <c r="G9" s="58" t="str">
        <f>'Monitoring Data'!G90</f>
        <v/>
      </c>
      <c r="H9" s="58" t="str">
        <f>'Monitoring Data'!G129</f>
        <v/>
      </c>
      <c r="I9" s="58" t="str">
        <f>'Monitoring Data'!G168</f>
        <v/>
      </c>
      <c r="J9" s="58" t="str">
        <f>'Monitoring Data'!G207</f>
        <v/>
      </c>
      <c r="K9" s="58" t="str">
        <f>'Monitoring Data'!G247</f>
        <v/>
      </c>
      <c r="L9" s="58" t="str">
        <f>'Monitoring Data'!G287</f>
        <v/>
      </c>
      <c r="M9" s="58" t="str">
        <f>'Monitoring Data'!G327</f>
        <v/>
      </c>
      <c r="N9" s="58" t="str">
        <f>'Monitoring Data'!G367</f>
        <v/>
      </c>
      <c r="O9" s="58" t="str">
        <f>'Monitoring Data'!G407</f>
        <v/>
      </c>
    </row>
    <row r="10" spans="1:15" ht="15.75" x14ac:dyDescent="0.25">
      <c r="A10" s="465"/>
      <c r="B10" s="95" t="s">
        <v>53</v>
      </c>
      <c r="C10" s="189" t="str">
        <f>'Quantification Tool'!C28</f>
        <v/>
      </c>
      <c r="D10" s="189" t="str">
        <f>'Quantification Tool'!D28</f>
        <v/>
      </c>
      <c r="E10" s="58" t="str">
        <f>'Monitoring Data'!G15</f>
        <v/>
      </c>
      <c r="F10" s="58" t="str">
        <f>'Monitoring Data'!G54</f>
        <v/>
      </c>
      <c r="G10" s="58" t="str">
        <f>'Monitoring Data'!G93</f>
        <v/>
      </c>
      <c r="H10" s="58" t="str">
        <f>'Monitoring Data'!G132</f>
        <v/>
      </c>
      <c r="I10" s="58" t="str">
        <f>'Monitoring Data'!G171</f>
        <v/>
      </c>
      <c r="J10" s="58" t="str">
        <f>'Monitoring Data'!G210</f>
        <v/>
      </c>
      <c r="K10" s="58" t="str">
        <f>'Monitoring Data'!G250</f>
        <v/>
      </c>
      <c r="L10" s="58" t="str">
        <f>'Monitoring Data'!G290</f>
        <v/>
      </c>
      <c r="M10" s="58" t="str">
        <f>'Monitoring Data'!G330</f>
        <v/>
      </c>
      <c r="N10" s="58" t="str">
        <f>'Monitoring Data'!G370</f>
        <v/>
      </c>
      <c r="O10" s="58" t="str">
        <f>'Monitoring Data'!G410</f>
        <v/>
      </c>
    </row>
    <row r="11" spans="1:15" ht="15.75" x14ac:dyDescent="0.25">
      <c r="A11" s="465"/>
      <c r="B11" s="95" t="s">
        <v>130</v>
      </c>
      <c r="C11" s="189" t="str">
        <f>'Quantification Tool'!C29</f>
        <v/>
      </c>
      <c r="D11" s="189" t="str">
        <f>'Quantification Tool'!D29</f>
        <v/>
      </c>
      <c r="E11" s="58" t="str">
        <f>'Monitoring Data'!G23</f>
        <v/>
      </c>
      <c r="F11" s="58" t="str">
        <f>'Monitoring Data'!G62</f>
        <v/>
      </c>
      <c r="G11" s="58" t="str">
        <f>'Monitoring Data'!G101</f>
        <v/>
      </c>
      <c r="H11" s="58" t="str">
        <f>'Monitoring Data'!G140</f>
        <v/>
      </c>
      <c r="I11" s="58" t="str">
        <f>'Monitoring Data'!G179</f>
        <v/>
      </c>
      <c r="J11" s="58" t="str">
        <f>'Monitoring Data'!G218</f>
        <v/>
      </c>
      <c r="K11" s="58" t="str">
        <f>'Monitoring Data'!G258</f>
        <v/>
      </c>
      <c r="L11" s="58" t="str">
        <f>'Monitoring Data'!G298</f>
        <v/>
      </c>
      <c r="M11" s="58" t="str">
        <f>'Monitoring Data'!G338</f>
        <v/>
      </c>
      <c r="N11" s="58" t="str">
        <f>'Monitoring Data'!G378</f>
        <v/>
      </c>
      <c r="O11" s="58" t="str">
        <f>'Monitoring Data'!G418</f>
        <v/>
      </c>
    </row>
    <row r="12" spans="1:15" ht="15.75" x14ac:dyDescent="0.25">
      <c r="A12" s="465"/>
      <c r="B12" s="95" t="s">
        <v>54</v>
      </c>
      <c r="C12" s="189" t="str">
        <f>'Quantification Tool'!C30</f>
        <v/>
      </c>
      <c r="D12" s="189" t="str">
        <f>'Quantification Tool'!D30</f>
        <v/>
      </c>
      <c r="E12" s="58" t="str">
        <f>'Monitoring Data'!G24</f>
        <v/>
      </c>
      <c r="F12" s="58" t="str">
        <f>'Monitoring Data'!G63</f>
        <v/>
      </c>
      <c r="G12" s="58" t="str">
        <f>'Monitoring Data'!G102</f>
        <v/>
      </c>
      <c r="H12" s="58" t="str">
        <f>'Monitoring Data'!G141</f>
        <v/>
      </c>
      <c r="I12" s="58" t="str">
        <f>'Monitoring Data'!G180</f>
        <v/>
      </c>
      <c r="J12" s="58" t="str">
        <f>'Monitoring Data'!G219</f>
        <v/>
      </c>
      <c r="K12" s="58" t="str">
        <f>'Monitoring Data'!G259</f>
        <v/>
      </c>
      <c r="L12" s="58" t="str">
        <f>'Monitoring Data'!G299</f>
        <v/>
      </c>
      <c r="M12" s="58" t="str">
        <f>'Monitoring Data'!G339</f>
        <v/>
      </c>
      <c r="N12" s="58" t="str">
        <f>'Monitoring Data'!G379</f>
        <v/>
      </c>
      <c r="O12" s="58" t="str">
        <f>'Monitoring Data'!G419</f>
        <v/>
      </c>
    </row>
    <row r="13" spans="1:15" ht="15.75" x14ac:dyDescent="0.25">
      <c r="A13" s="466"/>
      <c r="B13" s="95" t="s">
        <v>58</v>
      </c>
      <c r="C13" s="189" t="str">
        <f>'Quantification Tool'!C31</f>
        <v/>
      </c>
      <c r="D13" s="189" t="str">
        <f>'Quantification Tool'!D31</f>
        <v/>
      </c>
      <c r="E13" s="58" t="str">
        <f>'Monitoring Data'!G28</f>
        <v/>
      </c>
      <c r="F13" s="58" t="str">
        <f>'Monitoring Data'!G67</f>
        <v/>
      </c>
      <c r="G13" s="58" t="str">
        <f>'Monitoring Data'!G106</f>
        <v/>
      </c>
      <c r="H13" s="58" t="str">
        <f>'Monitoring Data'!G145</f>
        <v/>
      </c>
      <c r="I13" s="58" t="str">
        <f>'Monitoring Data'!G184</f>
        <v/>
      </c>
      <c r="J13" s="58" t="str">
        <f>'Monitoring Data'!G223</f>
        <v/>
      </c>
      <c r="K13" s="58" t="str">
        <f>'Monitoring Data'!G263</f>
        <v/>
      </c>
      <c r="L13" s="58" t="str">
        <f>'Monitoring Data'!G303</f>
        <v/>
      </c>
      <c r="M13" s="58" t="str">
        <f>'Monitoring Data'!G343</f>
        <v/>
      </c>
      <c r="N13" s="58" t="str">
        <f>'Monitoring Data'!G383</f>
        <v/>
      </c>
      <c r="O13" s="58" t="str">
        <f>'Monitoring Data'!G423</f>
        <v/>
      </c>
    </row>
    <row r="14" spans="1:15" ht="15.75" x14ac:dyDescent="0.25">
      <c r="A14" s="527" t="s">
        <v>61</v>
      </c>
      <c r="B14" s="83" t="s">
        <v>103</v>
      </c>
      <c r="C14" s="189" t="str">
        <f>'Quantification Tool'!C32</f>
        <v/>
      </c>
      <c r="D14" s="189" t="str">
        <f>'Quantification Tool'!D32</f>
        <v/>
      </c>
      <c r="E14" s="58" t="str">
        <f>'Monitoring Data'!G29</f>
        <v/>
      </c>
      <c r="F14" s="58" t="str">
        <f>'Monitoring Data'!G68</f>
        <v/>
      </c>
      <c r="G14" s="58" t="str">
        <f>'Monitoring Data'!G107</f>
        <v/>
      </c>
      <c r="H14" s="58" t="str">
        <f>'Monitoring Data'!G146</f>
        <v/>
      </c>
      <c r="I14" s="58" t="str">
        <f>'Monitoring Data'!G185</f>
        <v/>
      </c>
      <c r="J14" s="58" t="str">
        <f>'Monitoring Data'!G224</f>
        <v/>
      </c>
      <c r="K14" s="58" t="str">
        <f>'Monitoring Data'!G264</f>
        <v/>
      </c>
      <c r="L14" s="58" t="str">
        <f>'Monitoring Data'!G304</f>
        <v/>
      </c>
      <c r="M14" s="58" t="str">
        <f>'Monitoring Data'!G344</f>
        <v/>
      </c>
      <c r="N14" s="58" t="str">
        <f>'Monitoring Data'!G384</f>
        <v/>
      </c>
      <c r="O14" s="58" t="str">
        <f>'Monitoring Data'!G424</f>
        <v/>
      </c>
    </row>
    <row r="15" spans="1:15" ht="15.75" x14ac:dyDescent="0.25">
      <c r="A15" s="528"/>
      <c r="B15" s="399" t="s">
        <v>476</v>
      </c>
      <c r="C15" s="189" t="str">
        <f>'Quantification Tool'!C33</f>
        <v/>
      </c>
      <c r="D15" s="189" t="str">
        <f>'Quantification Tool'!D33</f>
        <v/>
      </c>
      <c r="E15" s="58" t="str">
        <f>'Monitoring Data'!G30</f>
        <v/>
      </c>
      <c r="F15" s="58" t="str">
        <f>'Monitoring Data'!G69</f>
        <v/>
      </c>
      <c r="G15" s="58" t="str">
        <f>'Monitoring Data'!G108</f>
        <v/>
      </c>
      <c r="H15" s="58" t="str">
        <f>'Monitoring Data'!G147</f>
        <v/>
      </c>
      <c r="I15" s="58" t="str">
        <f>'Monitoring Data'!G186</f>
        <v/>
      </c>
      <c r="J15" s="58" t="str">
        <f>'Monitoring Data'!G225</f>
        <v/>
      </c>
      <c r="K15" s="58" t="str">
        <f>'Monitoring Data'!G265</f>
        <v/>
      </c>
      <c r="L15" s="58" t="str">
        <f>'Monitoring Data'!G305</f>
        <v/>
      </c>
      <c r="M15" s="58" t="str">
        <f>'Monitoring Data'!G345</f>
        <v/>
      </c>
      <c r="N15" s="58" t="str">
        <f>'Monitoring Data'!G385</f>
        <v/>
      </c>
      <c r="O15" s="58" t="str">
        <f>'Monitoring Data'!G425</f>
        <v/>
      </c>
    </row>
    <row r="16" spans="1:15" ht="15.75" x14ac:dyDescent="0.25">
      <c r="A16" s="528"/>
      <c r="B16" s="83" t="s">
        <v>93</v>
      </c>
      <c r="C16" s="189" t="str">
        <f>'Quantification Tool'!C34</f>
        <v/>
      </c>
      <c r="D16" s="189" t="str">
        <f>'Quantification Tool'!D34</f>
        <v/>
      </c>
      <c r="E16" s="58" t="str">
        <f>'Monitoring Data'!G31</f>
        <v/>
      </c>
      <c r="F16" s="58" t="str">
        <f>'Monitoring Data'!G70</f>
        <v/>
      </c>
      <c r="G16" s="58" t="str">
        <f>'Monitoring Data'!G109</f>
        <v/>
      </c>
      <c r="H16" s="58" t="str">
        <f>'Monitoring Data'!G148</f>
        <v/>
      </c>
      <c r="I16" s="58" t="str">
        <f>'Monitoring Data'!G187</f>
        <v/>
      </c>
      <c r="J16" s="58" t="str">
        <f>'Monitoring Data'!G226</f>
        <v/>
      </c>
      <c r="K16" s="58" t="str">
        <f>'Monitoring Data'!G266</f>
        <v/>
      </c>
      <c r="L16" s="58" t="str">
        <f>'Monitoring Data'!G306</f>
        <v/>
      </c>
      <c r="M16" s="58" t="str">
        <f>'Monitoring Data'!G346</f>
        <v/>
      </c>
      <c r="N16" s="58" t="str">
        <f>'Monitoring Data'!G386</f>
        <v/>
      </c>
      <c r="O16" s="58" t="str">
        <f>'Monitoring Data'!G426</f>
        <v/>
      </c>
    </row>
    <row r="17" spans="1:21" ht="15.75" x14ac:dyDescent="0.25">
      <c r="A17" s="529"/>
      <c r="B17" s="293" t="s">
        <v>94</v>
      </c>
      <c r="C17" s="189" t="str">
        <f>'Quantification Tool'!C35</f>
        <v/>
      </c>
      <c r="D17" s="189" t="str">
        <f>'Quantification Tool'!D35</f>
        <v/>
      </c>
      <c r="E17" s="58" t="str">
        <f>'Monitoring Data'!G32</f>
        <v/>
      </c>
      <c r="F17" s="58" t="str">
        <f>'Monitoring Data'!G71</f>
        <v/>
      </c>
      <c r="G17" s="58" t="str">
        <f>'Monitoring Data'!G110</f>
        <v/>
      </c>
      <c r="H17" s="58" t="str">
        <f>'Monitoring Data'!G149</f>
        <v/>
      </c>
      <c r="I17" s="58" t="str">
        <f>'Monitoring Data'!G188</f>
        <v/>
      </c>
      <c r="J17" s="58" t="str">
        <f>'Monitoring Data'!G227</f>
        <v/>
      </c>
      <c r="K17" s="58" t="str">
        <f>'Monitoring Data'!G267</f>
        <v/>
      </c>
      <c r="L17" s="58" t="str">
        <f>'Monitoring Data'!G307</f>
        <v/>
      </c>
      <c r="M17" s="58" t="str">
        <f>'Monitoring Data'!G347</f>
        <v/>
      </c>
      <c r="N17" s="58" t="str">
        <f>'Monitoring Data'!G387</f>
        <v/>
      </c>
      <c r="O17" s="58" t="str">
        <f>'Monitoring Data'!G427</f>
        <v/>
      </c>
    </row>
    <row r="18" spans="1:21" ht="15.75" x14ac:dyDescent="0.25">
      <c r="A18" s="538" t="s">
        <v>62</v>
      </c>
      <c r="B18" s="96" t="s">
        <v>432</v>
      </c>
      <c r="C18" s="189" t="str">
        <f>'Quantification Tool'!C36</f>
        <v/>
      </c>
      <c r="D18" s="189" t="str">
        <f>'Quantification Tool'!D36</f>
        <v/>
      </c>
      <c r="E18" s="58" t="str">
        <f>'Monitoring Data'!G33</f>
        <v/>
      </c>
      <c r="F18" s="58" t="str">
        <f>'Monitoring Data'!G72</f>
        <v/>
      </c>
      <c r="G18" s="58" t="str">
        <f>'Monitoring Data'!G111</f>
        <v/>
      </c>
      <c r="H18" s="58" t="str">
        <f>'Monitoring Data'!G150</f>
        <v/>
      </c>
      <c r="I18" s="58" t="str">
        <f>'Monitoring Data'!G189</f>
        <v/>
      </c>
      <c r="J18" s="58" t="str">
        <f>'Monitoring Data'!G228</f>
        <v/>
      </c>
      <c r="K18" s="58" t="str">
        <f>'Monitoring Data'!G268</f>
        <v/>
      </c>
      <c r="L18" s="58" t="str">
        <f>'Monitoring Data'!G308</f>
        <v/>
      </c>
      <c r="M18" s="58" t="str">
        <f>'Monitoring Data'!G348</f>
        <v/>
      </c>
      <c r="N18" s="58" t="str">
        <f>'Monitoring Data'!G388</f>
        <v/>
      </c>
      <c r="O18" s="58" t="str">
        <f>'Monitoring Data'!G428</f>
        <v/>
      </c>
    </row>
    <row r="19" spans="1:21" ht="15.75" x14ac:dyDescent="0.25">
      <c r="A19" s="540"/>
      <c r="B19" s="96" t="s">
        <v>86</v>
      </c>
      <c r="C19" s="189" t="str">
        <f>'Quantification Tool'!C37</f>
        <v/>
      </c>
      <c r="D19" s="189" t="str">
        <f>'Quantification Tool'!D37</f>
        <v/>
      </c>
      <c r="E19" s="58" t="str">
        <f>'Monitoring Data'!G37</f>
        <v/>
      </c>
      <c r="F19" s="58" t="str">
        <f>'Monitoring Data'!G76</f>
        <v/>
      </c>
      <c r="G19" s="58" t="str">
        <f>'Monitoring Data'!G115</f>
        <v/>
      </c>
      <c r="H19" s="58" t="str">
        <f>'Monitoring Data'!G154</f>
        <v/>
      </c>
      <c r="I19" s="58" t="str">
        <f>'Monitoring Data'!G193</f>
        <v/>
      </c>
      <c r="J19" s="58" t="str">
        <f>'Monitoring Data'!G232</f>
        <v/>
      </c>
      <c r="K19" s="58" t="str">
        <f>'Monitoring Data'!G272</f>
        <v/>
      </c>
      <c r="L19" s="58" t="str">
        <f>'Monitoring Data'!G312</f>
        <v/>
      </c>
      <c r="M19" s="58" t="str">
        <f>'Monitoring Data'!G352</f>
        <v/>
      </c>
      <c r="N19" s="58" t="str">
        <f>'Monitoring Data'!G392</f>
        <v/>
      </c>
      <c r="O19" s="58" t="str">
        <f>'Monitoring Data'!G432</f>
        <v/>
      </c>
    </row>
    <row r="22" spans="1:21" ht="21" x14ac:dyDescent="0.25">
      <c r="A22" s="470" t="s">
        <v>122</v>
      </c>
      <c r="B22" s="471"/>
      <c r="C22" s="471"/>
      <c r="D22" s="471"/>
      <c r="E22" s="471"/>
      <c r="F22" s="471"/>
      <c r="G22" s="471"/>
      <c r="H22" s="471"/>
      <c r="I22" s="471"/>
      <c r="J22" s="471"/>
      <c r="K22" s="471"/>
      <c r="L22" s="471"/>
      <c r="M22" s="471"/>
      <c r="N22" s="471"/>
      <c r="O22" s="472"/>
    </row>
    <row r="23" spans="1:21" ht="14.45" customHeight="1" x14ac:dyDescent="0.25">
      <c r="A23" s="619" t="s">
        <v>123</v>
      </c>
      <c r="B23" s="620"/>
      <c r="C23" s="610" t="s">
        <v>124</v>
      </c>
      <c r="D23" s="610" t="s">
        <v>125</v>
      </c>
      <c r="E23" s="612" t="s">
        <v>170</v>
      </c>
      <c r="F23" s="614" t="s">
        <v>173</v>
      </c>
      <c r="G23" s="615"/>
      <c r="H23" s="615"/>
      <c r="I23" s="615"/>
      <c r="J23" s="615"/>
      <c r="K23" s="615"/>
      <c r="L23" s="615"/>
      <c r="M23" s="615"/>
      <c r="N23" s="615"/>
      <c r="O23" s="616"/>
      <c r="P23" s="180"/>
      <c r="Q23" s="180"/>
      <c r="R23" s="14"/>
      <c r="S23" s="14"/>
      <c r="T23" s="14"/>
      <c r="U23" s="14"/>
    </row>
    <row r="24" spans="1:21" s="14" customFormat="1" ht="14.45" customHeight="1" x14ac:dyDescent="0.25">
      <c r="A24" s="621"/>
      <c r="B24" s="622"/>
      <c r="C24" s="611"/>
      <c r="D24" s="611"/>
      <c r="E24" s="613"/>
      <c r="F24" s="195" t="e">
        <f t="shared" ref="F24:O24" si="0">F4</f>
        <v>#N/A</v>
      </c>
      <c r="G24" s="195" t="e">
        <f t="shared" si="0"/>
        <v>#N/A</v>
      </c>
      <c r="H24" s="195" t="e">
        <f t="shared" si="0"/>
        <v>#N/A</v>
      </c>
      <c r="I24" s="195" t="e">
        <f t="shared" si="0"/>
        <v>#N/A</v>
      </c>
      <c r="J24" s="195" t="e">
        <f t="shared" si="0"/>
        <v>#N/A</v>
      </c>
      <c r="K24" s="195" t="e">
        <f t="shared" si="0"/>
        <v>#N/A</v>
      </c>
      <c r="L24" s="195" t="e">
        <f t="shared" si="0"/>
        <v>#N/A</v>
      </c>
      <c r="M24" s="195" t="e">
        <f t="shared" si="0"/>
        <v>#N/A</v>
      </c>
      <c r="N24" s="195" t="e">
        <f t="shared" si="0"/>
        <v>#N/A</v>
      </c>
      <c r="O24" s="195" t="e">
        <f t="shared" si="0"/>
        <v>#N/A</v>
      </c>
      <c r="P24" s="180"/>
      <c r="Q24" s="180"/>
    </row>
    <row r="25" spans="1:21" ht="14.45" customHeight="1" x14ac:dyDescent="0.25">
      <c r="A25" s="500" t="s">
        <v>68</v>
      </c>
      <c r="B25" s="500"/>
      <c r="C25" s="190" t="str">
        <f>'Quantification Tool'!H42</f>
        <v/>
      </c>
      <c r="D25" s="190" t="str">
        <f>'Quantification Tool'!H82</f>
        <v/>
      </c>
      <c r="E25" s="186" t="str">
        <f>'Monitoring Data'!H3</f>
        <v/>
      </c>
      <c r="F25" s="186" t="str">
        <f>'Monitoring Data'!H42</f>
        <v/>
      </c>
      <c r="G25" s="186" t="str">
        <f>'Monitoring Data'!H81</f>
        <v/>
      </c>
      <c r="H25" s="186" t="str">
        <f>'Monitoring Data'!H120</f>
        <v/>
      </c>
      <c r="I25" s="186" t="str">
        <f>'Monitoring Data'!H159</f>
        <v/>
      </c>
      <c r="J25" s="186" t="str">
        <f>'Monitoring Data'!H198</f>
        <v/>
      </c>
      <c r="K25" s="186" t="str">
        <f>'Monitoring Data'!H238</f>
        <v/>
      </c>
      <c r="L25" s="186" t="str">
        <f>'Monitoring Data'!H278</f>
        <v/>
      </c>
      <c r="M25" s="186" t="str">
        <f>'Monitoring Data'!H318</f>
        <v/>
      </c>
      <c r="N25" s="186" t="str">
        <f>'Monitoring Data'!H358</f>
        <v/>
      </c>
      <c r="O25" s="186" t="str">
        <f>'Monitoring Data'!H398</f>
        <v/>
      </c>
      <c r="P25" s="178"/>
      <c r="Q25" s="179"/>
      <c r="R25" s="177"/>
      <c r="S25" s="177"/>
      <c r="T25" s="14"/>
      <c r="U25" s="14"/>
    </row>
    <row r="26" spans="1:21" ht="14.45" customHeight="1" x14ac:dyDescent="0.25">
      <c r="A26" s="501" t="s">
        <v>6</v>
      </c>
      <c r="B26" s="501"/>
      <c r="C26" s="190" t="str">
        <f>'Quantification Tool'!H47</f>
        <v/>
      </c>
      <c r="D26" s="190" t="str">
        <f>'Quantification Tool'!H87</f>
        <v/>
      </c>
      <c r="E26" s="186" t="str">
        <f>'Monitoring Data'!H8</f>
        <v/>
      </c>
      <c r="F26" s="186" t="str">
        <f>'Monitoring Data'!H47</f>
        <v/>
      </c>
      <c r="G26" s="186" t="str">
        <f>'Monitoring Data'!H86</f>
        <v/>
      </c>
      <c r="H26" s="186" t="str">
        <f>'Monitoring Data'!H125</f>
        <v/>
      </c>
      <c r="I26" s="186" t="str">
        <f>'Monitoring Data'!H164</f>
        <v/>
      </c>
      <c r="J26" s="186" t="str">
        <f>'Monitoring Data'!H203</f>
        <v/>
      </c>
      <c r="K26" s="186" t="str">
        <f>'Monitoring Data'!H243</f>
        <v/>
      </c>
      <c r="L26" s="186" t="str">
        <f>'Monitoring Data'!H283</f>
        <v/>
      </c>
      <c r="M26" s="186" t="str">
        <f>'Monitoring Data'!H323</f>
        <v/>
      </c>
      <c r="N26" s="186" t="str">
        <f>'Monitoring Data'!H363</f>
        <v/>
      </c>
      <c r="O26" s="186" t="str">
        <f>'Monitoring Data'!H403</f>
        <v/>
      </c>
      <c r="P26" s="178"/>
      <c r="Q26" s="178"/>
      <c r="R26" s="177"/>
      <c r="S26" s="177"/>
      <c r="T26" s="14"/>
      <c r="U26" s="14"/>
    </row>
    <row r="27" spans="1:21" ht="14.45" customHeight="1" x14ac:dyDescent="0.25">
      <c r="A27" s="608" t="s">
        <v>27</v>
      </c>
      <c r="B27" s="608"/>
      <c r="C27" s="190" t="str">
        <f>'Quantification Tool'!H49</f>
        <v/>
      </c>
      <c r="D27" s="190" t="str">
        <f>'Quantification Tool'!H89</f>
        <v/>
      </c>
      <c r="E27" s="186" t="str">
        <f>'Monitoring Data'!H10</f>
        <v/>
      </c>
      <c r="F27" s="186" t="str">
        <f>'Monitoring Data'!H49</f>
        <v/>
      </c>
      <c r="G27" s="186" t="str">
        <f>'Monitoring Data'!H88</f>
        <v/>
      </c>
      <c r="H27" s="186" t="str">
        <f>'Monitoring Data'!H127</f>
        <v/>
      </c>
      <c r="I27" s="186" t="str">
        <f>'Monitoring Data'!H166</f>
        <v/>
      </c>
      <c r="J27" s="186" t="str">
        <f>'Monitoring Data'!H205</f>
        <v/>
      </c>
      <c r="K27" s="186" t="str">
        <f>'Monitoring Data'!H245</f>
        <v/>
      </c>
      <c r="L27" s="186" t="str">
        <f>'Monitoring Data'!H285</f>
        <v/>
      </c>
      <c r="M27" s="186" t="str">
        <f>'Monitoring Data'!H325</f>
        <v/>
      </c>
      <c r="N27" s="186" t="str">
        <f>'Monitoring Data'!H365</f>
        <v/>
      </c>
      <c r="O27" s="186" t="str">
        <f>'Monitoring Data'!H405</f>
        <v/>
      </c>
      <c r="P27" s="178"/>
      <c r="Q27" s="179"/>
      <c r="R27" s="177"/>
      <c r="S27" s="177"/>
      <c r="T27" s="14"/>
      <c r="U27" s="14"/>
    </row>
    <row r="28" spans="1:21" ht="18.75" x14ac:dyDescent="0.25">
      <c r="A28" s="609" t="s">
        <v>61</v>
      </c>
      <c r="B28" s="609"/>
      <c r="C28" s="190" t="str">
        <f>'Quantification Tool'!H68</f>
        <v/>
      </c>
      <c r="D28" s="190" t="str">
        <f>'Quantification Tool'!H108</f>
        <v/>
      </c>
      <c r="E28" s="186" t="str">
        <f>'Monitoring Data'!H29</f>
        <v/>
      </c>
      <c r="F28" s="186" t="str">
        <f>'Monitoring Data'!H68</f>
        <v/>
      </c>
      <c r="G28" s="186" t="str">
        <f>'Monitoring Data'!H107</f>
        <v/>
      </c>
      <c r="H28" s="186" t="str">
        <f>'Monitoring Data'!H146</f>
        <v/>
      </c>
      <c r="I28" s="186" t="str">
        <f>'Monitoring Data'!H185</f>
        <v/>
      </c>
      <c r="J28" s="186" t="str">
        <f>'Monitoring Data'!H224</f>
        <v/>
      </c>
      <c r="K28" s="186" t="str">
        <f>'Monitoring Data'!H264</f>
        <v/>
      </c>
      <c r="L28" s="186" t="str">
        <f>'Monitoring Data'!H304</f>
        <v/>
      </c>
      <c r="M28" s="186" t="str">
        <f>'Monitoring Data'!H344</f>
        <v/>
      </c>
      <c r="N28" s="186" t="str">
        <f>'Monitoring Data'!H384</f>
        <v/>
      </c>
      <c r="O28" s="186" t="str">
        <f>'Monitoring Data'!H424</f>
        <v/>
      </c>
      <c r="P28" s="178"/>
      <c r="Q28" s="179"/>
      <c r="R28" s="177"/>
      <c r="S28" s="177"/>
      <c r="T28" s="14"/>
      <c r="U28" s="14"/>
    </row>
    <row r="29" spans="1:21" ht="18.75" x14ac:dyDescent="0.25">
      <c r="A29" s="607" t="s">
        <v>62</v>
      </c>
      <c r="B29" s="607"/>
      <c r="C29" s="190" t="str">
        <f>'Quantification Tool'!H72</f>
        <v/>
      </c>
      <c r="D29" s="190" t="str">
        <f>'Quantification Tool'!H112</f>
        <v/>
      </c>
      <c r="E29" s="186" t="str">
        <f>'Monitoring Data'!H33</f>
        <v/>
      </c>
      <c r="F29" s="186" t="str">
        <f>'Monitoring Data'!H72</f>
        <v/>
      </c>
      <c r="G29" s="186" t="str">
        <f>'Monitoring Data'!H111</f>
        <v/>
      </c>
      <c r="H29" s="186" t="str">
        <f>'Monitoring Data'!H150</f>
        <v/>
      </c>
      <c r="I29" s="186" t="str">
        <f>'Monitoring Data'!H189</f>
        <v/>
      </c>
      <c r="J29" s="186" t="str">
        <f>'Monitoring Data'!H228</f>
        <v/>
      </c>
      <c r="K29" s="186" t="str">
        <f>'Monitoring Data'!H268</f>
        <v/>
      </c>
      <c r="L29" s="186" t="str">
        <f>'Monitoring Data'!H308</f>
        <v/>
      </c>
      <c r="M29" s="186" t="str">
        <f>'Monitoring Data'!H348</f>
        <v/>
      </c>
      <c r="N29" s="186" t="str">
        <f>'Monitoring Data'!H388</f>
        <v/>
      </c>
      <c r="O29" s="186" t="str">
        <f>'Monitoring Data'!H428</f>
        <v/>
      </c>
      <c r="P29" s="178"/>
      <c r="Q29" s="178"/>
      <c r="R29" s="177"/>
      <c r="S29" s="177"/>
      <c r="T29" s="14"/>
      <c r="U29" s="14"/>
    </row>
    <row r="30" spans="1:21" ht="18.75" x14ac:dyDescent="0.3">
      <c r="A30" s="606" t="s">
        <v>171</v>
      </c>
      <c r="B30" s="606"/>
      <c r="C30" s="191">
        <f>ROUND(0.2*SUM(C25:C29),2)</f>
        <v>0</v>
      </c>
      <c r="D30" s="191">
        <f>ROUND(0.2*SUM(D25:D29),2)</f>
        <v>0</v>
      </c>
      <c r="E30" s="187">
        <f t="shared" ref="E30" si="1">ROUND(0.2*SUM(E25:E29),2)</f>
        <v>0</v>
      </c>
      <c r="F30" s="182" t="e">
        <f>IF(F24="","",ROUND(0.2*SUM(F25:F29),2))</f>
        <v>#N/A</v>
      </c>
      <c r="G30" s="182" t="e">
        <f>IF(G24="","",ROUND(0.2*SUM(G25:G29),2))</f>
        <v>#N/A</v>
      </c>
      <c r="H30" s="182" t="e">
        <f>IF(H24="","",ROUND(0.2*SUM(H25:H29),2))</f>
        <v>#N/A</v>
      </c>
      <c r="I30" s="182" t="e">
        <f t="shared" ref="I30:J30" si="2">IF(I24="","",ROUND(0.2*SUM(I25:I29),2))</f>
        <v>#N/A</v>
      </c>
      <c r="J30" s="182" t="e">
        <f t="shared" si="2"/>
        <v>#N/A</v>
      </c>
      <c r="K30" s="182" t="e">
        <f t="shared" ref="K30:O30" si="3">IF(K24="","",ROUND(0.2*SUM(K25:K29),2))</f>
        <v>#N/A</v>
      </c>
      <c r="L30" s="182" t="e">
        <f t="shared" si="3"/>
        <v>#N/A</v>
      </c>
      <c r="M30" s="182" t="e">
        <f t="shared" si="3"/>
        <v>#N/A</v>
      </c>
      <c r="N30" s="182" t="e">
        <f t="shared" si="3"/>
        <v>#N/A</v>
      </c>
      <c r="O30" s="182" t="e">
        <f t="shared" si="3"/>
        <v>#N/A</v>
      </c>
    </row>
    <row r="31" spans="1:21" ht="18.75" x14ac:dyDescent="0.3">
      <c r="A31" s="606" t="s">
        <v>172</v>
      </c>
      <c r="B31" s="606"/>
      <c r="C31" s="191">
        <f>ROUND(C30*'Quantification Tool'!B10,0)</f>
        <v>0</v>
      </c>
      <c r="D31" s="192">
        <f>ROUND(D30*'Quantification Tool'!$B$11,0)</f>
        <v>0</v>
      </c>
      <c r="E31" s="185">
        <f>ROUND(E30*'Quantification Tool'!$B$11,0)</f>
        <v>0</v>
      </c>
      <c r="F31" s="193" t="str">
        <f>IFERROR(ROUND(F30*'Quantification Tool'!$B$11,0),"")</f>
        <v/>
      </c>
      <c r="G31" s="193" t="str">
        <f>IFERROR(ROUND(G30*'Quantification Tool'!$B$11,0),"")</f>
        <v/>
      </c>
      <c r="H31" s="193" t="str">
        <f>IFERROR(ROUND(H30*'Quantification Tool'!$B$11,0),"")</f>
        <v/>
      </c>
      <c r="I31" s="193" t="str">
        <f>IFERROR(ROUND(I30*'Quantification Tool'!$B$11,0),"")</f>
        <v/>
      </c>
      <c r="J31" s="193" t="str">
        <f>IFERROR(ROUND(J30*'Quantification Tool'!$B$11,0),"")</f>
        <v/>
      </c>
      <c r="K31" s="185" t="str">
        <f>IFERROR(ROUND(K30*'Quantification Tool'!$B$11,0),"")</f>
        <v/>
      </c>
      <c r="L31" s="193" t="str">
        <f>IFERROR(ROUND(L30*'Quantification Tool'!$B$11,0),"")</f>
        <v/>
      </c>
      <c r="M31" s="193" t="str">
        <f>IFERROR(ROUND(M30*'Quantification Tool'!$B$11,0),"")</f>
        <v/>
      </c>
      <c r="N31" s="193" t="str">
        <f>IFERROR(ROUND(N30*'Quantification Tool'!$B$11,0),"")</f>
        <v/>
      </c>
      <c r="O31" s="193" t="str">
        <f>IFERROR(ROUND(O30*'Quantification Tool'!$B$11,0),"")</f>
        <v/>
      </c>
    </row>
    <row r="32" spans="1:21" ht="18.75" x14ac:dyDescent="0.3">
      <c r="C32" s="183"/>
    </row>
    <row r="34" spans="1:1" x14ac:dyDescent="0.25">
      <c r="A34" s="194" t="s">
        <v>174</v>
      </c>
    </row>
    <row r="35" spans="1:1" x14ac:dyDescent="0.25">
      <c r="A35" s="194" t="e">
        <f>IFERROR(O24,IFERROR(N24,IFERROR(M24,IFERROR(L24,IFERROR(K24,IFERROR(J24,IFERROR(I24,IFERROR(H24,IFERROR(G24,F24)))))))))</f>
        <v>#N/A</v>
      </c>
    </row>
  </sheetData>
  <sheetProtection algorithmName="SHA-512" hashValue="27LXvZyL2RTuuEasQ/mDO6LCtg433MoytKgwpi+iHkbk5EdJZwqPy3WlM4JP0gMDKgQk7zhJq8iWvySgLn4khg==" saltValue="LuasWNkdipw0+KKYMpfs5A==" spinCount="100000" sheet="1" objects="1" scenarios="1"/>
  <mergeCells count="24">
    <mergeCell ref="C23:C24"/>
    <mergeCell ref="D23:D24"/>
    <mergeCell ref="E23:E24"/>
    <mergeCell ref="F23:O23"/>
    <mergeCell ref="A2:O2"/>
    <mergeCell ref="A22:O22"/>
    <mergeCell ref="A3:A4"/>
    <mergeCell ref="B3:B4"/>
    <mergeCell ref="C3:C4"/>
    <mergeCell ref="D3:D4"/>
    <mergeCell ref="E3:E4"/>
    <mergeCell ref="F3:O3"/>
    <mergeCell ref="A23:B24"/>
    <mergeCell ref="A5:A6"/>
    <mergeCell ref="A8:A13"/>
    <mergeCell ref="A14:A17"/>
    <mergeCell ref="A18:A19"/>
    <mergeCell ref="A31:B31"/>
    <mergeCell ref="A29:B29"/>
    <mergeCell ref="A30:B30"/>
    <mergeCell ref="A25:B25"/>
    <mergeCell ref="A26:B26"/>
    <mergeCell ref="A27:B27"/>
    <mergeCell ref="A28:B28"/>
  </mergeCells>
  <conditionalFormatting sqref="A18">
    <cfRule type="beginsWith" dxfId="47" priority="100" stopIfTrue="1" operator="beginsWith" text="Functioning At Risk">
      <formula>LEFT(A18,LEN("Functioning At Risk"))="Functioning At Risk"</formula>
    </cfRule>
    <cfRule type="beginsWith" dxfId="46" priority="101" stopIfTrue="1" operator="beginsWith" text="Not Functioning">
      <formula>LEFT(A18,LEN("Not Functioning"))="Not Functioning"</formula>
    </cfRule>
    <cfRule type="containsText" dxfId="45" priority="102" operator="containsText" text="Functioning">
      <formula>NOT(ISERROR(SEARCH("Functioning",A18)))</formula>
    </cfRule>
  </conditionalFormatting>
  <conditionalFormatting sqref="B18">
    <cfRule type="beginsWith" dxfId="44" priority="94" stopIfTrue="1" operator="beginsWith" text="Functioning At Risk">
      <formula>LEFT(B18,LEN("Functioning At Risk"))="Functioning At Risk"</formula>
    </cfRule>
    <cfRule type="beginsWith" dxfId="43" priority="95" stopIfTrue="1" operator="beginsWith" text="Not Functioning">
      <formula>LEFT(B18,LEN("Not Functioning"))="Not Functioning"</formula>
    </cfRule>
    <cfRule type="containsText" dxfId="42" priority="96" operator="containsText" text="Functioning">
      <formula>NOT(ISERROR(SEARCH("Functioning",B18)))</formula>
    </cfRule>
  </conditionalFormatting>
  <conditionalFormatting sqref="B19">
    <cfRule type="beginsWith" dxfId="41" priority="91" stopIfTrue="1" operator="beginsWith" text="Functioning At Risk">
      <formula>LEFT(B19,LEN("Functioning At Risk"))="Functioning At Risk"</formula>
    </cfRule>
    <cfRule type="beginsWith" dxfId="40" priority="92" stopIfTrue="1" operator="beginsWith" text="Not Functioning">
      <formula>LEFT(B19,LEN("Not Functioning"))="Not Functioning"</formula>
    </cfRule>
    <cfRule type="containsText" dxfId="39" priority="93" operator="containsText" text="Functioning">
      <formula>NOT(ISERROR(SEARCH("Functioning",B19)))</formula>
    </cfRule>
  </conditionalFormatting>
  <conditionalFormatting sqref="A14">
    <cfRule type="beginsWith" dxfId="38" priority="82" stopIfTrue="1" operator="beginsWith" text="Functioning At Risk">
      <formula>LEFT(A14,LEN("Functioning At Risk"))="Functioning At Risk"</formula>
    </cfRule>
    <cfRule type="beginsWith" dxfId="37" priority="83" stopIfTrue="1" operator="beginsWith" text="Not Functioning">
      <formula>LEFT(A14,LEN("Not Functioning"))="Not Functioning"</formula>
    </cfRule>
    <cfRule type="containsText" dxfId="36" priority="84" operator="containsText" text="Functioning">
      <formula>NOT(ISERROR(SEARCH("Functioning",A14)))</formula>
    </cfRule>
  </conditionalFormatting>
  <conditionalFormatting sqref="C25:O29 C5:O19">
    <cfRule type="cellIs" dxfId="35" priority="97" operator="between">
      <formula>0</formula>
      <formula>0.299999</formula>
    </cfRule>
    <cfRule type="cellIs" dxfId="34" priority="98" operator="between">
      <formula>0.6999999</formula>
      <formula>0.3</formula>
    </cfRule>
    <cfRule type="cellIs" dxfId="33" priority="99" operator="between">
      <formula>0.7</formula>
      <formula>1</formula>
    </cfRule>
  </conditionalFormatting>
  <conditionalFormatting sqref="Q28:S28">
    <cfRule type="beginsWith" dxfId="32" priority="22" stopIfTrue="1" operator="beginsWith" text="Functioning At Risk">
      <formula>LEFT(Q28,LEN("Functioning At Risk"))="Functioning At Risk"</formula>
    </cfRule>
    <cfRule type="beginsWith" dxfId="31" priority="23" stopIfTrue="1" operator="beginsWith" text="Not Functioning">
      <formula>LEFT(Q28,LEN("Not Functioning"))="Not Functioning"</formula>
    </cfRule>
    <cfRule type="containsText" dxfId="30" priority="24" operator="containsText" text="Functioning">
      <formula>NOT(ISERROR(SEARCH("Functioning",Q28)))</formula>
    </cfRule>
  </conditionalFormatting>
  <conditionalFormatting sqref="P28">
    <cfRule type="beginsWith" dxfId="29" priority="19" stopIfTrue="1" operator="beginsWith" text="Functioning At Risk">
      <formula>LEFT(P28,LEN("Functioning At Risk"))="Functioning At Risk"</formula>
    </cfRule>
    <cfRule type="beginsWith" dxfId="28" priority="20" stopIfTrue="1" operator="beginsWith" text="Not Functioning">
      <formula>LEFT(P28,LEN("Not Functioning"))="Not Functioning"</formula>
    </cfRule>
    <cfRule type="containsText" dxfId="27" priority="21" operator="containsText" text="Functioning">
      <formula>NOT(ISERROR(SEARCH("Functioning",P28)))</formula>
    </cfRule>
  </conditionalFormatting>
  <conditionalFormatting sqref="P23:P24">
    <cfRule type="beginsWith" dxfId="26" priority="55" stopIfTrue="1" operator="beginsWith" text="Functioning At Risk">
      <formula>LEFT(P23,LEN("Functioning At Risk"))="Functioning At Risk"</formula>
    </cfRule>
    <cfRule type="beginsWith" dxfId="25" priority="56" stopIfTrue="1" operator="beginsWith" text="Not Functioning">
      <formula>LEFT(P23,LEN("Not Functioning"))="Not Functioning"</formula>
    </cfRule>
    <cfRule type="containsText" dxfId="24" priority="57" operator="containsText" text="Functioning">
      <formula>NOT(ISERROR(SEARCH("Functioning",P23)))</formula>
    </cfRule>
  </conditionalFormatting>
  <conditionalFormatting sqref="A22">
    <cfRule type="beginsWith" dxfId="23" priority="49" stopIfTrue="1" operator="beginsWith" text="Functioning At Risk">
      <formula>LEFT(A22,LEN("Functioning At Risk"))="Functioning At Risk"</formula>
    </cfRule>
    <cfRule type="beginsWith" dxfId="22" priority="50" stopIfTrue="1" operator="beginsWith" text="Not Functioning">
      <formula>LEFT(A22,LEN("Not Functioning"))="Not Functioning"</formula>
    </cfRule>
    <cfRule type="containsText" dxfId="21" priority="51" operator="containsText" text="Functioning">
      <formula>NOT(ISERROR(SEARCH("Functioning",A22)))</formula>
    </cfRule>
  </conditionalFormatting>
  <conditionalFormatting sqref="A28">
    <cfRule type="beginsWith" dxfId="20" priority="46" stopIfTrue="1" operator="beginsWith" text="Functioning At Risk">
      <formula>LEFT(A28,LEN("Functioning At Risk"))="Functioning At Risk"</formula>
    </cfRule>
    <cfRule type="beginsWith" dxfId="19" priority="47" stopIfTrue="1" operator="beginsWith" text="Not Functioning">
      <formula>LEFT(A28,LEN("Not Functioning"))="Not Functioning"</formula>
    </cfRule>
    <cfRule type="containsText" dxfId="18" priority="48" operator="containsText" text="Functioning">
      <formula>NOT(ISERROR(SEARCH("Functioning",A28)))</formula>
    </cfRule>
  </conditionalFormatting>
  <conditionalFormatting sqref="A27">
    <cfRule type="beginsWith" dxfId="17" priority="43" stopIfTrue="1" operator="beginsWith" text="Functioning At Risk">
      <formula>LEFT(A27,LEN("Functioning At Risk"))="Functioning At Risk"</formula>
    </cfRule>
    <cfRule type="beginsWith" dxfId="16" priority="44" stopIfTrue="1" operator="beginsWith" text="Not Functioning">
      <formula>LEFT(A27,LEN("Not Functioning"))="Not Functioning"</formula>
    </cfRule>
    <cfRule type="containsText" dxfId="15" priority="45" operator="containsText" text="Functioning">
      <formula>NOT(ISERROR(SEARCH("Functioning",A27)))</formula>
    </cfRule>
  </conditionalFormatting>
  <conditionalFormatting sqref="A26">
    <cfRule type="beginsWith" dxfId="14" priority="40" stopIfTrue="1" operator="beginsWith" text="Functioning At Risk">
      <formula>LEFT(A26,LEN("Functioning At Risk"))="Functioning At Risk"</formula>
    </cfRule>
    <cfRule type="beginsWith" dxfId="13" priority="41" stopIfTrue="1" operator="beginsWith" text="Not Functioning">
      <formula>LEFT(A26,LEN("Not Functioning"))="Not Functioning"</formula>
    </cfRule>
    <cfRule type="containsText" dxfId="12" priority="42" operator="containsText" text="Functioning">
      <formula>NOT(ISERROR(SEARCH("Functioning",A26)))</formula>
    </cfRule>
  </conditionalFormatting>
  <conditionalFormatting sqref="A29">
    <cfRule type="beginsWith" dxfId="11" priority="31" stopIfTrue="1" operator="beginsWith" text="Functioning At Risk">
      <formula>LEFT(A29,LEN("Functioning At Risk"))="Functioning At Risk"</formula>
    </cfRule>
    <cfRule type="beginsWith" dxfId="10" priority="32" stopIfTrue="1" operator="beginsWith" text="Not Functioning">
      <formula>LEFT(A29,LEN("Not Functioning"))="Not Functioning"</formula>
    </cfRule>
    <cfRule type="containsText" dxfId="9" priority="33" operator="containsText" text="Functioning">
      <formula>NOT(ISERROR(SEARCH("Functioning",A29)))</formula>
    </cfRule>
  </conditionalFormatting>
  <conditionalFormatting sqref="P29:S29 P26:S27">
    <cfRule type="beginsWith" dxfId="8" priority="28" stopIfTrue="1" operator="beginsWith" text="Functioning At Risk">
      <formula>LEFT(P26,LEN("Functioning At Risk"))="Functioning At Risk"</formula>
    </cfRule>
    <cfRule type="beginsWith" dxfId="7" priority="29" stopIfTrue="1" operator="beginsWith" text="Not Functioning">
      <formula>LEFT(P26,LEN("Not Functioning"))="Not Functioning"</formula>
    </cfRule>
    <cfRule type="containsText" dxfId="6" priority="30" operator="containsText" text="Functioning">
      <formula>NOT(ISERROR(SEARCH("Functioning",P26)))</formula>
    </cfRule>
  </conditionalFormatting>
  <conditionalFormatting sqref="F4:O4">
    <cfRule type="containsErrors" dxfId="5" priority="6">
      <formula>ISERROR(F4)</formula>
    </cfRule>
  </conditionalFormatting>
  <conditionalFormatting sqref="F24:O24">
    <cfRule type="containsErrors" dxfId="4" priority="5">
      <formula>ISERROR(F24)</formula>
    </cfRule>
  </conditionalFormatting>
  <conditionalFormatting sqref="E30:O30">
    <cfRule type="containsErrors" dxfId="3" priority="4">
      <formula>ISERROR(E30)</formula>
    </cfRule>
  </conditionalFormatting>
  <conditionalFormatting sqref="B16:B17 B14">
    <cfRule type="beginsWith" dxfId="2" priority="1" stopIfTrue="1" operator="beginsWith" text="Functioning At Risk">
      <formula>LEFT(B14,LEN("Functioning At Risk"))="Functioning At Risk"</formula>
    </cfRule>
    <cfRule type="beginsWith" dxfId="1" priority="2" stopIfTrue="1" operator="beginsWith" text="Not Functioning">
      <formula>LEFT(B14,LEN("Not Functioning"))="Not Functioning"</formula>
    </cfRule>
    <cfRule type="containsText" dxfId="0" priority="3" operator="containsText" text="Functioning">
      <formula>NOT(ISERROR(SEARCH("Functioning",B14)))</formula>
    </cfRule>
  </conditionalFormatting>
  <pageMargins left="0.7" right="0.7" top="0.75" bottom="0.75" header="0.3" footer="0.3"/>
  <pageSetup paperSize="3" orientation="landscape" r:id="rId1"/>
  <rowBreaks count="1" manualBreakCount="1">
    <brk id="3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E15" sqref="E15"/>
    </sheetView>
  </sheetViews>
  <sheetFormatPr defaultRowHeight="15" x14ac:dyDescent="0.25"/>
  <cols>
    <col min="1" max="1" width="8.85546875" style="15"/>
    <col min="2" max="2" width="15.5703125" customWidth="1"/>
  </cols>
  <sheetData>
    <row r="1" spans="1:2" s="14" customFormat="1" x14ac:dyDescent="0.25">
      <c r="A1" s="15" t="s">
        <v>177</v>
      </c>
    </row>
    <row r="2" spans="1:2" x14ac:dyDescent="0.25">
      <c r="B2" s="14" t="s">
        <v>22</v>
      </c>
    </row>
    <row r="3" spans="1:2" x14ac:dyDescent="0.25">
      <c r="B3" t="s">
        <v>12</v>
      </c>
    </row>
    <row r="4" spans="1:2" x14ac:dyDescent="0.25">
      <c r="B4" t="s">
        <v>13</v>
      </c>
    </row>
    <row r="5" spans="1:2" x14ac:dyDescent="0.25">
      <c r="B5" t="s">
        <v>10</v>
      </c>
    </row>
    <row r="6" spans="1:2" x14ac:dyDescent="0.25">
      <c r="B6" t="s">
        <v>11</v>
      </c>
    </row>
    <row r="7" spans="1:2" s="14" customFormat="1" x14ac:dyDescent="0.25">
      <c r="A7" s="15"/>
      <c r="B7" s="14" t="s">
        <v>96</v>
      </c>
    </row>
    <row r="8" spans="1:2" s="14" customFormat="1" x14ac:dyDescent="0.25">
      <c r="A8" s="15"/>
      <c r="B8" s="14" t="s">
        <v>97</v>
      </c>
    </row>
    <row r="9" spans="1:2" s="14" customFormat="1" x14ac:dyDescent="0.25">
      <c r="A9" s="15"/>
      <c r="B9" s="14" t="s">
        <v>104</v>
      </c>
    </row>
    <row r="11" spans="1:2" s="14" customFormat="1" x14ac:dyDescent="0.25">
      <c r="A11" s="15" t="s">
        <v>178</v>
      </c>
    </row>
    <row r="12" spans="1:2" x14ac:dyDescent="0.25">
      <c r="B12" t="s">
        <v>478</v>
      </c>
    </row>
    <row r="13" spans="1:2" s="14" customFormat="1" x14ac:dyDescent="0.25">
      <c r="A13" s="15"/>
      <c r="B13" s="14" t="s">
        <v>479</v>
      </c>
    </row>
    <row r="14" spans="1:2" s="14" customFormat="1" x14ac:dyDescent="0.25">
      <c r="A14" s="15"/>
      <c r="B14" s="14" t="s">
        <v>480</v>
      </c>
    </row>
    <row r="15" spans="1:2" s="14" customFormat="1" x14ac:dyDescent="0.25">
      <c r="A15" s="15"/>
      <c r="B15" s="14" t="s">
        <v>24</v>
      </c>
    </row>
    <row r="16" spans="1:2" s="14" customFormat="1" x14ac:dyDescent="0.25">
      <c r="A16" s="15"/>
      <c r="B16" s="14" t="s">
        <v>23</v>
      </c>
    </row>
    <row r="17" spans="1:2" s="14" customFormat="1" x14ac:dyDescent="0.25">
      <c r="A17" s="15"/>
      <c r="B17" s="14" t="s">
        <v>481</v>
      </c>
    </row>
    <row r="18" spans="1:2" ht="15" customHeight="1" x14ac:dyDescent="0.25"/>
    <row r="19" spans="1:2" s="14" customFormat="1" x14ac:dyDescent="0.25">
      <c r="A19" s="15" t="s">
        <v>179</v>
      </c>
    </row>
    <row r="20" spans="1:2" x14ac:dyDescent="0.25">
      <c r="B20" t="s">
        <v>26</v>
      </c>
    </row>
    <row r="21" spans="1:2" x14ac:dyDescent="0.25">
      <c r="B21" t="s">
        <v>29</v>
      </c>
    </row>
    <row r="22" spans="1:2" s="14" customFormat="1" x14ac:dyDescent="0.25">
      <c r="A22" s="15"/>
      <c r="B22" s="14" t="s">
        <v>67</v>
      </c>
    </row>
    <row r="23" spans="1:2" s="14" customFormat="1" x14ac:dyDescent="0.25">
      <c r="A23" s="15"/>
    </row>
    <row r="24" spans="1:2" x14ac:dyDescent="0.25">
      <c r="A24" s="15" t="s">
        <v>180</v>
      </c>
    </row>
    <row r="25" spans="1:2" x14ac:dyDescent="0.25">
      <c r="B25" t="s">
        <v>30</v>
      </c>
    </row>
    <row r="26" spans="1:2" x14ac:dyDescent="0.25">
      <c r="B26" t="s">
        <v>31</v>
      </c>
    </row>
    <row r="27" spans="1:2" x14ac:dyDescent="0.25">
      <c r="B27" t="s">
        <v>32</v>
      </c>
    </row>
    <row r="28" spans="1:2" x14ac:dyDescent="0.25">
      <c r="B28" t="s">
        <v>33</v>
      </c>
    </row>
    <row r="29" spans="1:2" x14ac:dyDescent="0.25">
      <c r="B29" t="s">
        <v>34</v>
      </c>
    </row>
    <row r="30" spans="1:2" x14ac:dyDescent="0.25">
      <c r="B30" t="s">
        <v>39</v>
      </c>
    </row>
    <row r="31" spans="1:2" x14ac:dyDescent="0.25">
      <c r="B31" t="s">
        <v>35</v>
      </c>
    </row>
    <row r="32" spans="1:2" x14ac:dyDescent="0.25">
      <c r="B32" t="s">
        <v>36</v>
      </c>
    </row>
    <row r="33" spans="1:2" x14ac:dyDescent="0.25">
      <c r="B33" t="s">
        <v>37</v>
      </c>
    </row>
    <row r="34" spans="1:2" x14ac:dyDescent="0.25">
      <c r="B34" t="s">
        <v>38</v>
      </c>
    </row>
    <row r="35" spans="1:2" s="14" customFormat="1" x14ac:dyDescent="0.25">
      <c r="A35" s="15"/>
      <c r="B35" s="14" t="s">
        <v>107</v>
      </c>
    </row>
    <row r="36" spans="1:2" s="14" customFormat="1" x14ac:dyDescent="0.25">
      <c r="A36" s="15"/>
      <c r="B36" s="14" t="s">
        <v>106</v>
      </c>
    </row>
    <row r="37" spans="1:2" s="14" customFormat="1" x14ac:dyDescent="0.25">
      <c r="A37" s="15"/>
      <c r="B37" s="14" t="s">
        <v>108</v>
      </c>
    </row>
    <row r="38" spans="1:2" x14ac:dyDescent="0.25">
      <c r="B38" t="s">
        <v>40</v>
      </c>
    </row>
    <row r="39" spans="1:2" x14ac:dyDescent="0.25">
      <c r="B39" t="s">
        <v>41</v>
      </c>
    </row>
    <row r="40" spans="1:2" x14ac:dyDescent="0.25">
      <c r="B40" t="s">
        <v>42</v>
      </c>
    </row>
    <row r="41" spans="1:2" s="14" customFormat="1" x14ac:dyDescent="0.25">
      <c r="A41" s="15"/>
      <c r="B41" s="14" t="s">
        <v>109</v>
      </c>
    </row>
    <row r="42" spans="1:2" x14ac:dyDescent="0.25">
      <c r="B42" t="s">
        <v>45</v>
      </c>
    </row>
    <row r="43" spans="1:2" x14ac:dyDescent="0.25">
      <c r="B43" t="s">
        <v>43</v>
      </c>
    </row>
    <row r="44" spans="1:2" s="14" customFormat="1" x14ac:dyDescent="0.25">
      <c r="A44" s="15"/>
      <c r="B44" s="14" t="s">
        <v>110</v>
      </c>
    </row>
    <row r="45" spans="1:2" s="14" customFormat="1" x14ac:dyDescent="0.25">
      <c r="A45" s="15"/>
      <c r="B45" s="14" t="s">
        <v>111</v>
      </c>
    </row>
    <row r="46" spans="1:2" s="14" customFormat="1" x14ac:dyDescent="0.25">
      <c r="A46" s="15"/>
      <c r="B46" s="14" t="s">
        <v>112</v>
      </c>
    </row>
    <row r="47" spans="1:2" s="14" customFormat="1" x14ac:dyDescent="0.25">
      <c r="A47" s="15"/>
      <c r="B47" s="14" t="s">
        <v>49</v>
      </c>
    </row>
    <row r="48" spans="1:2" x14ac:dyDescent="0.25">
      <c r="B48" t="s">
        <v>113</v>
      </c>
    </row>
    <row r="49" spans="1:2" x14ac:dyDescent="0.25">
      <c r="B49" t="s">
        <v>44</v>
      </c>
    </row>
    <row r="50" spans="1:2" s="14" customFormat="1" x14ac:dyDescent="0.25">
      <c r="A50" s="15"/>
      <c r="B50" s="14" t="s">
        <v>114</v>
      </c>
    </row>
    <row r="51" spans="1:2" x14ac:dyDescent="0.25">
      <c r="B51" t="s">
        <v>46</v>
      </c>
    </row>
    <row r="52" spans="1:2" x14ac:dyDescent="0.25">
      <c r="B52" t="s">
        <v>47</v>
      </c>
    </row>
    <row r="53" spans="1:2" x14ac:dyDescent="0.25">
      <c r="B53" t="s">
        <v>48</v>
      </c>
    </row>
    <row r="54" spans="1:2" x14ac:dyDescent="0.25">
      <c r="B54" t="s">
        <v>50</v>
      </c>
    </row>
    <row r="55" spans="1:2" s="14" customFormat="1" x14ac:dyDescent="0.25">
      <c r="A55" s="15"/>
    </row>
    <row r="56" spans="1:2" x14ac:dyDescent="0.25">
      <c r="A56" s="15" t="s">
        <v>181</v>
      </c>
    </row>
    <row r="57" spans="1:2" x14ac:dyDescent="0.25">
      <c r="B57" t="s">
        <v>64</v>
      </c>
    </row>
    <row r="58" spans="1:2" x14ac:dyDescent="0.25">
      <c r="B58" t="s">
        <v>65</v>
      </c>
    </row>
    <row r="59" spans="1:2" x14ac:dyDescent="0.25">
      <c r="B59" t="s">
        <v>66</v>
      </c>
    </row>
    <row r="60" spans="1:2" s="14" customFormat="1" x14ac:dyDescent="0.25">
      <c r="A60" s="15"/>
    </row>
    <row r="61" spans="1:2" x14ac:dyDescent="0.25">
      <c r="A61" s="126" t="s">
        <v>182</v>
      </c>
    </row>
    <row r="62" spans="1:2" x14ac:dyDescent="0.25">
      <c r="B62" t="s">
        <v>187</v>
      </c>
    </row>
    <row r="63" spans="1:2" s="14" customFormat="1" x14ac:dyDescent="0.25">
      <c r="A63" s="15"/>
      <c r="B63" s="13" t="s">
        <v>188</v>
      </c>
    </row>
    <row r="64" spans="1:2" s="14" customFormat="1" x14ac:dyDescent="0.25">
      <c r="A64" s="15"/>
      <c r="B64" s="13" t="s">
        <v>323</v>
      </c>
    </row>
    <row r="65" spans="1:2" s="14" customFormat="1" x14ac:dyDescent="0.25">
      <c r="A65" s="15"/>
      <c r="B65" s="13" t="s">
        <v>324</v>
      </c>
    </row>
    <row r="66" spans="1:2" s="14" customFormat="1" x14ac:dyDescent="0.25">
      <c r="A66" s="15"/>
      <c r="B66" s="13" t="s">
        <v>278</v>
      </c>
    </row>
    <row r="67" spans="1:2" s="14" customFormat="1" x14ac:dyDescent="0.25">
      <c r="A67" s="15"/>
      <c r="B67" s="13" t="s">
        <v>276</v>
      </c>
    </row>
    <row r="68" spans="1:2" s="14" customFormat="1" x14ac:dyDescent="0.25">
      <c r="A68" s="15"/>
      <c r="B68" s="13" t="s">
        <v>275</v>
      </c>
    </row>
    <row r="69" spans="1:2" s="14" customFormat="1" x14ac:dyDescent="0.25">
      <c r="A69" s="15"/>
      <c r="B69" s="13" t="s">
        <v>277</v>
      </c>
    </row>
    <row r="70" spans="1:2" s="14" customFormat="1" x14ac:dyDescent="0.25">
      <c r="A70" s="15"/>
      <c r="B70" s="13" t="s">
        <v>280</v>
      </c>
    </row>
    <row r="71" spans="1:2" s="14" customFormat="1" x14ac:dyDescent="0.25">
      <c r="A71" s="15"/>
      <c r="B71" s="13" t="s">
        <v>279</v>
      </c>
    </row>
    <row r="72" spans="1:2" s="14" customFormat="1" x14ac:dyDescent="0.25">
      <c r="A72" s="15"/>
      <c r="B72" s="13" t="s">
        <v>189</v>
      </c>
    </row>
    <row r="73" spans="1:2" s="14" customFormat="1" x14ac:dyDescent="0.25">
      <c r="A73" s="15"/>
      <c r="B73" s="13" t="s">
        <v>190</v>
      </c>
    </row>
    <row r="74" spans="1:2" s="14" customFormat="1" x14ac:dyDescent="0.25">
      <c r="A74" s="15"/>
      <c r="B74" s="13" t="s">
        <v>282</v>
      </c>
    </row>
    <row r="75" spans="1:2" s="14" customFormat="1" x14ac:dyDescent="0.25">
      <c r="A75" s="15"/>
      <c r="B75" s="13" t="s">
        <v>281</v>
      </c>
    </row>
    <row r="76" spans="1:2" x14ac:dyDescent="0.25">
      <c r="B76" s="13" t="s">
        <v>191</v>
      </c>
    </row>
    <row r="77" spans="1:2" s="14" customFormat="1" x14ac:dyDescent="0.25">
      <c r="A77" s="15"/>
      <c r="B77" s="13" t="s">
        <v>192</v>
      </c>
    </row>
    <row r="78" spans="1:2" s="14" customFormat="1" x14ac:dyDescent="0.25">
      <c r="A78" s="15"/>
      <c r="B78" s="13" t="s">
        <v>321</v>
      </c>
    </row>
    <row r="79" spans="1:2" s="14" customFormat="1" x14ac:dyDescent="0.25">
      <c r="A79" s="15"/>
      <c r="B79" s="13" t="s">
        <v>322</v>
      </c>
    </row>
    <row r="80" spans="1:2" s="14" customFormat="1" x14ac:dyDescent="0.25">
      <c r="A80" s="15"/>
      <c r="B80" s="13" t="s">
        <v>283</v>
      </c>
    </row>
    <row r="81" spans="1:2" s="14" customFormat="1" x14ac:dyDescent="0.25">
      <c r="A81" s="15"/>
      <c r="B81" s="13" t="s">
        <v>193</v>
      </c>
    </row>
    <row r="82" spans="1:2" s="14" customFormat="1" x14ac:dyDescent="0.25">
      <c r="A82" s="15"/>
      <c r="B82" s="13" t="s">
        <v>285</v>
      </c>
    </row>
    <row r="83" spans="1:2" s="14" customFormat="1" x14ac:dyDescent="0.25">
      <c r="A83" s="15"/>
      <c r="B83" s="13" t="s">
        <v>284</v>
      </c>
    </row>
    <row r="84" spans="1:2" s="14" customFormat="1" x14ac:dyDescent="0.25">
      <c r="A84" s="15"/>
      <c r="B84" s="13" t="s">
        <v>195</v>
      </c>
    </row>
    <row r="85" spans="1:2" x14ac:dyDescent="0.25">
      <c r="B85" t="s">
        <v>196</v>
      </c>
    </row>
    <row r="87" spans="1:2" x14ac:dyDescent="0.25">
      <c r="A87" s="15" t="s">
        <v>183</v>
      </c>
    </row>
    <row r="88" spans="1:2" x14ac:dyDescent="0.25">
      <c r="B88" t="s">
        <v>69</v>
      </c>
    </row>
    <row r="89" spans="1:2" x14ac:dyDescent="0.25">
      <c r="B89" t="s">
        <v>70</v>
      </c>
    </row>
    <row r="90" spans="1:2" s="14" customFormat="1" x14ac:dyDescent="0.25">
      <c r="A90" s="15"/>
    </row>
    <row r="91" spans="1:2" x14ac:dyDescent="0.25">
      <c r="A91" s="15" t="s">
        <v>84</v>
      </c>
    </row>
    <row r="92" spans="1:2" x14ac:dyDescent="0.25">
      <c r="B92" t="s">
        <v>80</v>
      </c>
    </row>
    <row r="93" spans="1:2" x14ac:dyDescent="0.25">
      <c r="B93" t="s">
        <v>81</v>
      </c>
    </row>
    <row r="94" spans="1:2" x14ac:dyDescent="0.25">
      <c r="B94" t="s">
        <v>82</v>
      </c>
    </row>
    <row r="95" spans="1:2" x14ac:dyDescent="0.25">
      <c r="B95" t="s">
        <v>83</v>
      </c>
    </row>
    <row r="97" spans="1:2" x14ac:dyDescent="0.25">
      <c r="A97" s="15" t="s">
        <v>184</v>
      </c>
    </row>
    <row r="98" spans="1:2" x14ac:dyDescent="0.25">
      <c r="B98" t="s">
        <v>149</v>
      </c>
    </row>
    <row r="99" spans="1:2" x14ac:dyDescent="0.25">
      <c r="B99" t="s">
        <v>96</v>
      </c>
    </row>
    <row r="100" spans="1:2" x14ac:dyDescent="0.25">
      <c r="B100" t="s">
        <v>97</v>
      </c>
    </row>
    <row r="102" spans="1:2" x14ac:dyDescent="0.25">
      <c r="A102" s="15" t="s">
        <v>185</v>
      </c>
    </row>
    <row r="103" spans="1:2" x14ac:dyDescent="0.25">
      <c r="B103" t="s">
        <v>197</v>
      </c>
    </row>
    <row r="104" spans="1:2" x14ac:dyDescent="0.25">
      <c r="B104" t="s">
        <v>198</v>
      </c>
    </row>
    <row r="105" spans="1:2" s="14" customFormat="1" x14ac:dyDescent="0.25">
      <c r="A105" s="15"/>
    </row>
    <row r="106" spans="1:2" x14ac:dyDescent="0.25">
      <c r="A106" s="15" t="s">
        <v>186</v>
      </c>
    </row>
    <row r="107" spans="1:2" x14ac:dyDescent="0.25">
      <c r="B107" t="s">
        <v>157</v>
      </c>
    </row>
    <row r="108" spans="1:2" x14ac:dyDescent="0.25">
      <c r="B108" t="s">
        <v>160</v>
      </c>
    </row>
    <row r="109" spans="1:2" x14ac:dyDescent="0.25">
      <c r="B109" t="s">
        <v>159</v>
      </c>
    </row>
    <row r="111" spans="1:2" x14ac:dyDescent="0.25">
      <c r="A111" s="15" t="s">
        <v>228</v>
      </c>
    </row>
    <row r="112" spans="1:2" x14ac:dyDescent="0.25">
      <c r="B112" t="s">
        <v>229</v>
      </c>
    </row>
    <row r="113" spans="1:2" x14ac:dyDescent="0.25">
      <c r="B113" t="s">
        <v>230</v>
      </c>
    </row>
    <row r="115" spans="1:2" x14ac:dyDescent="0.25">
      <c r="A115" s="15" t="s">
        <v>387</v>
      </c>
    </row>
    <row r="116" spans="1:2" x14ac:dyDescent="0.25">
      <c r="B116" s="303" t="s">
        <v>388</v>
      </c>
    </row>
    <row r="117" spans="1:2" x14ac:dyDescent="0.25">
      <c r="B117" s="303" t="s">
        <v>389</v>
      </c>
    </row>
    <row r="118" spans="1:2" x14ac:dyDescent="0.25">
      <c r="B118" t="s">
        <v>390</v>
      </c>
    </row>
  </sheetData>
  <sortState ref="B62:B96">
    <sortCondition ref="B96"/>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Project Assessment</vt:lpstr>
      <vt:lpstr>Watershed Assessment</vt:lpstr>
      <vt:lpstr>Parameter Selection Guide</vt:lpstr>
      <vt:lpstr>Quantification Tool</vt:lpstr>
      <vt:lpstr>Reference Standards</vt:lpstr>
      <vt:lpstr>Monitoring Data</vt:lpstr>
      <vt:lpstr>Data Summary</vt:lpstr>
      <vt:lpstr>Pull Down Notes</vt:lpstr>
      <vt:lpstr>BedMaterial</vt:lpstr>
      <vt:lpstr>BEHI.NBS</vt:lpstr>
      <vt:lpstr>CatchmentAssessment</vt:lpstr>
      <vt:lpstr>Flow.Type</vt:lpstr>
      <vt:lpstr>Level</vt:lpstr>
      <vt:lpstr>'Monitoring Data'!Print_Area</vt:lpstr>
      <vt:lpstr>'Parameter Selection Guide'!Print_Area</vt:lpstr>
      <vt:lpstr>'Quantification Tool'!Print_Area</vt:lpstr>
      <vt:lpstr>ProgramGoals</vt:lpstr>
      <vt:lpstr>Region</vt:lpstr>
      <vt:lpstr>StreamType</vt:lpstr>
      <vt:lpstr>Yes.No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UsaceAdmin</cp:lastModifiedBy>
  <cp:lastPrinted>2016-12-29T03:41:19Z</cp:lastPrinted>
  <dcterms:created xsi:type="dcterms:W3CDTF">2014-08-22T20:36:47Z</dcterms:created>
  <dcterms:modified xsi:type="dcterms:W3CDTF">2018-06-04T13:50:34Z</dcterms:modified>
</cp:coreProperties>
</file>